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W:\Régimes DB (actifs)\UMoncton\Calculatrices\"/>
    </mc:Choice>
  </mc:AlternateContent>
  <xr:revisionPtr revIDLastSave="0" documentId="13_ncr:1_{0C198674-CE43-4043-91C8-7BFE824EADD8}" xr6:coauthVersionLast="47" xr6:coauthVersionMax="47" xr10:uidLastSave="{00000000-0000-0000-0000-000000000000}"/>
  <workbookProtection workbookAlgorithmName="SHA-512" workbookHashValue="zbWK1b/s9cyYdayydE1OqHU8uMBit8RsCEfXSEgzwyiDIhJEKt7N6l2/cbtaehLZEyVSsu0LxLTnBJKUCtlksA==" workbookSaltValue="CyXPhC7b0L+RaSBiEKrfTQ==" workbookSpinCount="100000" lockStructure="1"/>
  <bookViews>
    <workbookView xWindow="20370" yWindow="-120" windowWidth="19440" windowHeight="15000" xr2:uid="{00000000-000D-0000-FFFF-FFFF00000000}"/>
  </bookViews>
  <sheets>
    <sheet name="Data" sheetId="4" r:id="rId1"/>
    <sheet name="Calculatrice" sheetId="3" state="hidden" r:id="rId2"/>
  </sheets>
  <definedNames>
    <definedName name="_xlnm.Print_Area" localSheetId="0">Data!$A$1:$I$61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2" i="3" l="1"/>
  <c r="B55" i="4" l="1"/>
  <c r="J41" i="3" l="1"/>
  <c r="M18" i="3" l="1"/>
  <c r="M17" i="3" l="1"/>
  <c r="T4" i="4" l="1"/>
  <c r="T3" i="4"/>
  <c r="S3" i="4"/>
  <c r="S4" i="4" l="1"/>
  <c r="L11" i="3" s="1"/>
  <c r="B32" i="4"/>
  <c r="B33" i="4" l="1"/>
  <c r="F15" i="4"/>
  <c r="B20" i="4" l="1"/>
  <c r="M11" i="3" l="1"/>
  <c r="J40" i="3" l="1"/>
  <c r="A4" i="3" l="1"/>
  <c r="F4" i="3" s="1"/>
  <c r="J39" i="3"/>
  <c r="J38" i="3" l="1"/>
  <c r="J37" i="3" l="1"/>
  <c r="E4" i="3" s="1"/>
  <c r="J36" i="3" l="1"/>
  <c r="P4" i="4" l="1"/>
  <c r="P5" i="4" s="1"/>
  <c r="P6" i="4" s="1"/>
  <c r="P7" i="4" s="1"/>
  <c r="P8" i="4" s="1"/>
  <c r="P9" i="4" s="1"/>
  <c r="P10" i="4" s="1"/>
  <c r="P11" i="4" s="1"/>
  <c r="P12" i="4" s="1"/>
  <c r="P13" i="4" s="1"/>
  <c r="P14" i="4" s="1"/>
  <c r="E57" i="4" l="1"/>
  <c r="N4" i="4"/>
  <c r="N5" i="4" s="1"/>
  <c r="N6" i="4" s="1"/>
  <c r="N7" i="4" s="1"/>
  <c r="N8" i="4" s="1"/>
  <c r="N9" i="4" s="1"/>
  <c r="N10" i="4" l="1"/>
  <c r="N13" i="4" s="1"/>
  <c r="N14" i="4" s="1"/>
  <c r="N15" i="4" s="1"/>
  <c r="N16" i="4" s="1"/>
  <c r="N17" i="4" s="1"/>
  <c r="N18" i="4" s="1"/>
  <c r="N19" i="4" s="1"/>
  <c r="N20" i="4" s="1"/>
  <c r="N21" i="4" s="1"/>
  <c r="N11" i="4"/>
  <c r="N12" i="4" s="1"/>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E44" i="4" l="1"/>
  <c r="F31" i="4"/>
  <c r="E41" i="4" s="1"/>
  <c r="E51" i="4" s="1"/>
  <c r="D4" i="3"/>
  <c r="D35" i="4"/>
  <c r="A5" i="3"/>
  <c r="F5" i="3" s="1"/>
  <c r="E5" i="3" l="1"/>
  <c r="A6" i="3"/>
  <c r="D5" i="3"/>
  <c r="B40" i="4"/>
  <c r="B50" i="4" s="1"/>
  <c r="E6" i="3" l="1"/>
  <c r="F6" i="3"/>
  <c r="A7" i="3"/>
  <c r="D6" i="3"/>
  <c r="E7" i="3" l="1"/>
  <c r="B3" i="4"/>
  <c r="F7" i="3"/>
  <c r="T5" i="4"/>
  <c r="L10" i="3"/>
  <c r="D7" i="3"/>
  <c r="A8" i="3"/>
  <c r="F8" i="3" l="1"/>
  <c r="E2" i="3"/>
  <c r="E8" i="3" s="1"/>
  <c r="E9" i="3" s="1"/>
  <c r="E10" i="3" s="1"/>
  <c r="E11" i="3" s="1"/>
  <c r="E12" i="3" s="1"/>
  <c r="E13" i="3" s="1"/>
  <c r="E14" i="3" s="1"/>
  <c r="E15" i="3" s="1"/>
  <c r="E16" i="3" s="1"/>
  <c r="E17" i="3" s="1"/>
  <c r="E18" i="3" s="1"/>
  <c r="E19" i="3" s="1"/>
  <c r="E20" i="3" s="1"/>
  <c r="E21" i="3" s="1"/>
  <c r="E22" i="3" s="1"/>
  <c r="E23" i="3" s="1"/>
  <c r="E24" i="3" s="1"/>
  <c r="E25" i="3" s="1"/>
  <c r="E26" i="3" s="1"/>
  <c r="E27" i="3" s="1"/>
  <c r="E28" i="3" s="1"/>
  <c r="E29" i="3" s="1"/>
  <c r="E30" i="3" s="1"/>
  <c r="E31" i="3" s="1"/>
  <c r="E32" i="3" s="1"/>
  <c r="E33" i="3" s="1"/>
  <c r="E34" i="3" s="1"/>
  <c r="E35" i="3" s="1"/>
  <c r="E36" i="3" s="1"/>
  <c r="E37" i="3" s="1"/>
  <c r="E38" i="3" s="1"/>
  <c r="E39" i="3" s="1"/>
  <c r="E40" i="3" s="1"/>
  <c r="E41" i="3" s="1"/>
  <c r="E42" i="3" s="1"/>
  <c r="E43" i="3" s="1"/>
  <c r="E44" i="3" s="1"/>
  <c r="E45" i="3" s="1"/>
  <c r="E46" i="3" s="1"/>
  <c r="E47" i="3" s="1"/>
  <c r="E48" i="3" s="1"/>
  <c r="E49" i="3" s="1"/>
  <c r="E50" i="3" s="1"/>
  <c r="E51" i="3" s="1"/>
  <c r="E52" i="3" s="1"/>
  <c r="E53" i="3" s="1"/>
  <c r="E54" i="3" s="1"/>
  <c r="E55" i="3" s="1"/>
  <c r="M10" i="3"/>
  <c r="L9" i="3"/>
  <c r="L8" i="3" s="1"/>
  <c r="L7" i="3" s="1"/>
  <c r="D8" i="3"/>
  <c r="A9" i="3"/>
  <c r="F9" i="3" s="1"/>
  <c r="M9" i="3" l="1"/>
  <c r="D9" i="3"/>
  <c r="A10" i="3"/>
  <c r="F10" i="3" s="1"/>
  <c r="M8" i="3" l="1"/>
  <c r="D10" i="3"/>
  <c r="A11" i="3"/>
  <c r="F11" i="3" s="1"/>
  <c r="M7" i="3" l="1"/>
  <c r="B4" i="3"/>
  <c r="D11" i="3"/>
  <c r="A12" i="3"/>
  <c r="F12" i="3" s="1"/>
  <c r="C4" i="3" l="1"/>
  <c r="B5" i="3"/>
  <c r="D12" i="3"/>
  <c r="A13" i="3"/>
  <c r="F13" i="3" s="1"/>
  <c r="B6" i="3" l="1"/>
  <c r="C5" i="3"/>
  <c r="D13" i="3"/>
  <c r="A14" i="3"/>
  <c r="F14" i="3" s="1"/>
  <c r="C6" i="3" l="1"/>
  <c r="B7" i="3"/>
  <c r="D14" i="3"/>
  <c r="A15" i="3"/>
  <c r="F15" i="3" s="1"/>
  <c r="B8" i="3" l="1"/>
  <c r="C7" i="3"/>
  <c r="D15" i="3"/>
  <c r="A16" i="3"/>
  <c r="F16" i="3" s="1"/>
  <c r="B9" i="3" l="1"/>
  <c r="C8" i="3"/>
  <c r="D16" i="3"/>
  <c r="A17" i="3"/>
  <c r="F17" i="3" s="1"/>
  <c r="B10" i="3" l="1"/>
  <c r="C9" i="3"/>
  <c r="D17" i="3"/>
  <c r="A18" i="3"/>
  <c r="F18" i="3" s="1"/>
  <c r="B11" i="3" l="1"/>
  <c r="C10" i="3"/>
  <c r="D18" i="3"/>
  <c r="A19" i="3"/>
  <c r="F19" i="3" s="1"/>
  <c r="B12" i="3" l="1"/>
  <c r="C11" i="3"/>
  <c r="D19" i="3"/>
  <c r="A20" i="3"/>
  <c r="F20" i="3" s="1"/>
  <c r="B13" i="3" l="1"/>
  <c r="C12" i="3"/>
  <c r="D20" i="3"/>
  <c r="A21" i="3"/>
  <c r="F21" i="3" s="1"/>
  <c r="B14" i="3" l="1"/>
  <c r="C13" i="3"/>
  <c r="D21" i="3"/>
  <c r="A22" i="3"/>
  <c r="F22" i="3" s="1"/>
  <c r="B15" i="3" l="1"/>
  <c r="C14" i="3"/>
  <c r="D22" i="3"/>
  <c r="A23" i="3"/>
  <c r="F23" i="3" s="1"/>
  <c r="B16" i="3" l="1"/>
  <c r="C15" i="3"/>
  <c r="D23" i="3"/>
  <c r="A24" i="3"/>
  <c r="F24" i="3" s="1"/>
  <c r="B17" i="3" l="1"/>
  <c r="C16" i="3"/>
  <c r="D24" i="3"/>
  <c r="A25" i="3"/>
  <c r="F25" i="3" s="1"/>
  <c r="B18" i="3" l="1"/>
  <c r="C17" i="3"/>
  <c r="D25" i="3"/>
  <c r="A26" i="3"/>
  <c r="F26" i="3" s="1"/>
  <c r="B19" i="3" l="1"/>
  <c r="C18" i="3"/>
  <c r="D26" i="3"/>
  <c r="A27" i="3"/>
  <c r="F27" i="3" s="1"/>
  <c r="B20" i="3" l="1"/>
  <c r="C19" i="3"/>
  <c r="D27" i="3"/>
  <c r="A28" i="3"/>
  <c r="F28" i="3" s="1"/>
  <c r="B21" i="3" l="1"/>
  <c r="C20" i="3"/>
  <c r="D28" i="3"/>
  <c r="A29" i="3"/>
  <c r="F29" i="3" s="1"/>
  <c r="B22" i="3" l="1"/>
  <c r="C21" i="3"/>
  <c r="D29" i="3"/>
  <c r="A30" i="3"/>
  <c r="F30" i="3" s="1"/>
  <c r="B23" i="3" l="1"/>
  <c r="C22" i="3"/>
  <c r="D30" i="3"/>
  <c r="A31" i="3"/>
  <c r="F31" i="3" s="1"/>
  <c r="B24" i="3" l="1"/>
  <c r="C23" i="3"/>
  <c r="D31" i="3"/>
  <c r="A32" i="3"/>
  <c r="F32" i="3" s="1"/>
  <c r="B25" i="3" l="1"/>
  <c r="C24" i="3"/>
  <c r="D32" i="3"/>
  <c r="A33" i="3"/>
  <c r="F33" i="3" s="1"/>
  <c r="B26" i="3" l="1"/>
  <c r="C25" i="3"/>
  <c r="D33" i="3"/>
  <c r="A34" i="3"/>
  <c r="F34" i="3" s="1"/>
  <c r="B27" i="3" l="1"/>
  <c r="C26" i="3"/>
  <c r="D34" i="3"/>
  <c r="A35" i="3"/>
  <c r="F35" i="3" s="1"/>
  <c r="B28" i="3" l="1"/>
  <c r="C27" i="3"/>
  <c r="D35" i="3"/>
  <c r="A36" i="3"/>
  <c r="F36" i="3" s="1"/>
  <c r="B29" i="3" l="1"/>
  <c r="C28" i="3"/>
  <c r="D36" i="3"/>
  <c r="A37" i="3"/>
  <c r="F37" i="3" s="1"/>
  <c r="B30" i="3" l="1"/>
  <c r="C29" i="3"/>
  <c r="D37" i="3"/>
  <c r="A38" i="3"/>
  <c r="F38" i="3" s="1"/>
  <c r="C30" i="3" l="1"/>
  <c r="B31" i="3"/>
  <c r="D38" i="3"/>
  <c r="A39" i="3"/>
  <c r="F39" i="3" s="1"/>
  <c r="C31" i="3" l="1"/>
  <c r="B32" i="3"/>
  <c r="D39" i="3"/>
  <c r="A40" i="3"/>
  <c r="F40" i="3" s="1"/>
  <c r="C32" i="3" l="1"/>
  <c r="B33" i="3"/>
  <c r="D40" i="3"/>
  <c r="C40" i="3"/>
  <c r="A41" i="3"/>
  <c r="F41" i="3" s="1"/>
  <c r="C33" i="3" l="1"/>
  <c r="B34" i="3"/>
  <c r="D41" i="3"/>
  <c r="C41" i="3"/>
  <c r="A42" i="3"/>
  <c r="F42" i="3" s="1"/>
  <c r="C34" i="3" l="1"/>
  <c r="B35" i="3"/>
  <c r="C42" i="3"/>
  <c r="D42" i="3"/>
  <c r="A43" i="3"/>
  <c r="F43" i="3" s="1"/>
  <c r="C35" i="3" l="1"/>
  <c r="B36" i="3"/>
  <c r="C43" i="3"/>
  <c r="D43" i="3"/>
  <c r="A44" i="3"/>
  <c r="F44" i="3" s="1"/>
  <c r="C36" i="3" l="1"/>
  <c r="B37" i="3"/>
  <c r="C44" i="3"/>
  <c r="D44" i="3"/>
  <c r="A45" i="3"/>
  <c r="F45" i="3" s="1"/>
  <c r="B38" i="3" l="1"/>
  <c r="C37" i="3"/>
  <c r="C45" i="3"/>
  <c r="D45" i="3"/>
  <c r="A46" i="3"/>
  <c r="F46" i="3" s="1"/>
  <c r="B39" i="3" l="1"/>
  <c r="C38" i="3"/>
  <c r="C46" i="3"/>
  <c r="D46" i="3"/>
  <c r="A47" i="3"/>
  <c r="F47" i="3" s="1"/>
  <c r="B40" i="3" l="1"/>
  <c r="B41" i="3" s="1"/>
  <c r="B42" i="3" s="1"/>
  <c r="B43" i="3" s="1"/>
  <c r="B44" i="3" s="1"/>
  <c r="B45" i="3" s="1"/>
  <c r="B46" i="3" s="1"/>
  <c r="B47" i="3" s="1"/>
  <c r="C39" i="3"/>
  <c r="D47" i="3"/>
  <c r="C47" i="3"/>
  <c r="A48" i="3"/>
  <c r="F48" i="3" s="1"/>
  <c r="B48" i="3" l="1"/>
  <c r="D48" i="3"/>
  <c r="C48" i="3"/>
  <c r="A49" i="3"/>
  <c r="F49" i="3" s="1"/>
  <c r="B49" i="3" l="1"/>
  <c r="D49" i="3"/>
  <c r="C49" i="3"/>
  <c r="A50" i="3"/>
  <c r="F50" i="3" s="1"/>
  <c r="B50" i="3" l="1"/>
  <c r="D50" i="3"/>
  <c r="C50" i="3"/>
  <c r="A51" i="3"/>
  <c r="F51" i="3" s="1"/>
  <c r="B51" i="3" l="1"/>
  <c r="C51" i="3"/>
  <c r="D51" i="3"/>
  <c r="A52" i="3"/>
  <c r="F52" i="3" s="1"/>
  <c r="B52" i="3" l="1"/>
  <c r="C52" i="3"/>
  <c r="D52" i="3"/>
  <c r="A53" i="3"/>
  <c r="F53" i="3" s="1"/>
  <c r="B53" i="3" l="1"/>
  <c r="C53" i="3"/>
  <c r="D53" i="3"/>
  <c r="A54" i="3"/>
  <c r="F54" i="3" s="1"/>
  <c r="B54" i="3" l="1"/>
  <c r="C54" i="3"/>
  <c r="D54" i="3"/>
  <c r="A55" i="3"/>
  <c r="F55" i="3" s="1"/>
  <c r="B55" i="3" l="1"/>
  <c r="M20" i="3" s="1"/>
  <c r="E30" i="4" s="1"/>
  <c r="D55" i="3"/>
  <c r="C55" i="3"/>
  <c r="E66" i="4" l="1"/>
  <c r="E50" i="4" s="1"/>
  <c r="E55" i="4"/>
  <c r="E45" i="4"/>
  <c r="E65" i="4"/>
  <c r="E40" i="4" s="1"/>
  <c r="E42" i="4" s="1"/>
  <c r="F46" i="4" s="1"/>
  <c r="E54" i="4"/>
  <c r="E52" i="4" l="1"/>
  <c r="E58" i="4" s="1"/>
  <c r="F56" i="4" l="1"/>
  <c r="F57" i="4" s="1"/>
</calcChain>
</file>

<file path=xl/sharedStrings.xml><?xml version="1.0" encoding="utf-8"?>
<sst xmlns="http://schemas.openxmlformats.org/spreadsheetml/2006/main" count="86" uniqueCount="79">
  <si>
    <t>Estimation de votre prestation annuelle à la retraite</t>
  </si>
  <si>
    <t>Show, tout voir : Hide, pour client : Test, Tester conditionnal formating</t>
  </si>
  <si>
    <t>Régime de pension pour le personnel de soutien, les techniciens et techniciennes et le personnel administratif ou professionnel de l'Université de Moncton</t>
  </si>
  <si>
    <t>Hide</t>
  </si>
  <si>
    <t>Indexation disponible</t>
  </si>
  <si>
    <t>Mois</t>
  </si>
  <si>
    <t>Équivalent</t>
  </si>
  <si>
    <t>Année</t>
  </si>
  <si>
    <t>Salaire</t>
  </si>
  <si>
    <t>janvier</t>
  </si>
  <si>
    <t>février</t>
  </si>
  <si>
    <t>Nom</t>
  </si>
  <si>
    <t>mars</t>
  </si>
  <si>
    <t>Estimation annuelle</t>
  </si>
  <si>
    <t>avril</t>
  </si>
  <si>
    <t>Jour</t>
  </si>
  <si>
    <t>mai</t>
  </si>
  <si>
    <t>Date d'adhésion :</t>
  </si>
  <si>
    <t>(selon le relevé de pension - p.3)</t>
  </si>
  <si>
    <t>juin</t>
  </si>
  <si>
    <t>Date du relevé utilisé :</t>
  </si>
  <si>
    <t>(selon la page couverture de votre relevé)</t>
  </si>
  <si>
    <t>juillet</t>
  </si>
  <si>
    <t>Date actuelle :</t>
  </si>
  <si>
    <t>août</t>
  </si>
  <si>
    <t>septembre</t>
  </si>
  <si>
    <t>Salaire annuel moyen utilisé pour le calcul de votre prestation :</t>
  </si>
  <si>
    <t>octobre</t>
  </si>
  <si>
    <t>Salaire annuel actuel :</t>
  </si>
  <si>
    <t>novembre</t>
  </si>
  <si>
    <t>décembre</t>
  </si>
  <si>
    <t>Pourcentage annuel d'augmentation salariale future</t>
  </si>
  <si>
    <t>Indiquer l’augmentation future annuelle que vous prévoyez pour votre salaire. Si vous ne savez pas ou que vous pensez que votre salaire n’augmentera pas, indiquez 0.00%.</t>
  </si>
  <si>
    <t>Attention : Le % d'augmentation salarial indiqué influencera le montant futur de vos prestations</t>
  </si>
  <si>
    <t>Avant 1992
1,54 %</t>
  </si>
  <si>
    <t>Depuis 1992
1,54 %</t>
  </si>
  <si>
    <t>Avant 1992
2 %</t>
  </si>
  <si>
    <t>Depuis 1992
2 %</t>
  </si>
  <si>
    <t xml:space="preserve"> Rachat avant 1992
2 %</t>
  </si>
  <si>
    <t xml:space="preserve"> Rachat après 1992
2 %</t>
  </si>
  <si>
    <t>Depuis 2014</t>
  </si>
  <si>
    <t>Prestation annuelle de retraite depuis 2014 :</t>
  </si>
  <si>
    <t>Année (AAAA)</t>
  </si>
  <si>
    <t>Mois (MM)</t>
  </si>
  <si>
    <t>Date de retraite normale</t>
  </si>
  <si>
    <t>(selon le relevé de pension - p.3 section des Reseignements personnels)</t>
  </si>
  <si>
    <t>Date de retraite désirée</t>
  </si>
  <si>
    <t>Salaire moyen final 3 ans à la date de retraite prévue:</t>
  </si>
  <si>
    <t># mois pour atteindre la retraite désirée versus la date de retraite normale                                                                            ( Utilisé pour le calcul de la pénalité)</t>
  </si>
  <si>
    <t>Estimation de la prestation en date du :</t>
  </si>
  <si>
    <t>Calcul de vos acquis de pension jusqu'au 31 décembre 2013  (avant l'actualisation du régime)</t>
  </si>
  <si>
    <t>Réduction %</t>
  </si>
  <si>
    <t>Réduction $</t>
  </si>
  <si>
    <t>Nombre d'années de service créditées jusqu'au 31 décembre 2013</t>
  </si>
  <si>
    <t>Moyenne salariale - 3 meilleures années</t>
  </si>
  <si>
    <t>Prestation accumulée jusqu'au 31 décembre 2013</t>
  </si>
  <si>
    <r>
      <t>Calcul de vos acquis de pension à partir du 1</t>
    </r>
    <r>
      <rPr>
        <b/>
        <vertAlign val="superscript"/>
        <sz val="12"/>
        <rFont val="Arial"/>
        <family val="2"/>
      </rPr>
      <t>er</t>
    </r>
    <r>
      <rPr>
        <b/>
        <sz val="12"/>
        <rFont val="Arial"/>
        <family val="2"/>
      </rPr>
      <t xml:space="preserve"> janvier 2014  (après l'actualisation du régime)</t>
    </r>
  </si>
  <si>
    <t>Réduction  %</t>
  </si>
  <si>
    <t>Nombre d'années de service créditées à partir de 2014</t>
  </si>
  <si>
    <t>Prestation accumulée à partir de janvier 2014</t>
  </si>
  <si>
    <t>Estimation totale de votre prestation à la retraite  au</t>
  </si>
  <si>
    <r>
      <t xml:space="preserve">Montant de la réduction : </t>
    </r>
    <r>
      <rPr>
        <b/>
        <sz val="10"/>
        <color rgb="FFFF0000"/>
        <rFont val="Arial"/>
        <family val="2"/>
      </rPr>
      <t>(déjà enlevée de la prestation estimée)</t>
    </r>
  </si>
  <si>
    <t>Avis :</t>
  </si>
  <si>
    <t>Les renseignements et la calculatrice interactive vous sont offerts en tant qu'outils libre-service pour votre usage personnel. L’information présentée ou y figurant est de nature générale et est mise à votre disposition à titre d’information générale seulement et « telle quelle », sans aucune garantie notamment au niveau de son exactitude ou de sa caducité. Cette information ne doit pas être interprétée comme constituant un ou des conseils ou avis professionnel. Si vous avez besoin de conseils particuliers, veuillez consulter un professionnel qualifié dans ce domaine. Pour de l’information générale, vous pouvez vous adresser au service des ressources humaines de l’Université.</t>
  </si>
  <si>
    <t>Rente pour service avant 2014:</t>
  </si>
  <si>
    <t>Rente pour service 2014 et après:</t>
  </si>
  <si>
    <t>Rente totale après changement:</t>
  </si>
  <si>
    <t>Salaire pour calcul</t>
  </si>
  <si>
    <t>Salaire carrière</t>
  </si>
  <si>
    <t>Rente pour service &lt; 2013</t>
  </si>
  <si>
    <t>max regime</t>
  </si>
  <si>
    <t>Pour calcul moyenne 3 années</t>
  </si>
  <si>
    <t>https://www.canada.ca/en/revenue-agency/services/tax/registered-plans-administrators/pspa/mp-rrsp-dpsp-tfsa-limits-ympe.html</t>
  </si>
  <si>
    <t>Plafond des PD</t>
  </si>
  <si>
    <t>Salaire max</t>
  </si>
  <si>
    <t>Date début salaire final</t>
  </si>
  <si>
    <t>Date de retraite</t>
  </si>
  <si>
    <t>Salaire moyen final</t>
  </si>
  <si>
    <t>(selon le relevé de pension - 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</si>
</sst>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44" formatCode="_(&quot;$&quot;* #,##0.00_);_(&quot;$&quot;* \(#,##0.00\);_(&quot;$&quot;* &quot;-&quot;??_);_(@_)"/>
    <numFmt numFmtId="164" formatCode="&quot;$&quot;#,##0.00;[Red]\-&quot;$&quot;#,##0.00"/>
    <numFmt numFmtId="165" formatCode="#,##0\ &quot;$&quot;_);\(#,##0\ &quot;$&quot;\)"/>
    <numFmt numFmtId="166" formatCode="[$-C0C]d\ mmm\ yyyy;@"/>
    <numFmt numFmtId="167" formatCode="General_)"/>
    <numFmt numFmtId="168" formatCode="#,##0\ &quot;$&quot;"/>
    <numFmt numFmtId="169" formatCode="[$-F800]dddd\,\ mmmm\ dd\,\ yyyy"/>
    <numFmt numFmtId="170" formatCode="0.0000"/>
    <numFmt numFmtId="171" formatCode="&quot;$&quot;#,##0.00"/>
    <numFmt numFmtId="172" formatCode="[$-C0C]d\ mmmm\ yyyy;@"/>
    <numFmt numFmtId="173" formatCode="[$-C0C]mmmm"/>
    <numFmt numFmtId="174" formatCode="#,##0.00\ [$$-C0C]_);\(#,##0.00\ [$$-C0C]\)"/>
  </numFmts>
  <fonts count="32" x14ac:knownFonts="1">
    <font>
      <sz val="10"/>
      <name val="Arial"/>
    </font>
    <font>
      <sz val="10"/>
      <name val="Arial"/>
      <family val="2"/>
    </font>
    <font>
      <sz val="8"/>
      <name val="Arial"/>
      <family val="2"/>
    </font>
    <font>
      <b/>
      <sz val="10"/>
      <name val="Arial"/>
      <family val="2"/>
    </font>
    <font>
      <sz val="10"/>
      <color indexed="12"/>
      <name val="Arial"/>
      <family val="2"/>
    </font>
    <font>
      <b/>
      <sz val="12"/>
      <name val="Arial"/>
      <family val="2"/>
    </font>
    <font>
      <b/>
      <sz val="14"/>
      <name val="Arial"/>
      <family val="2"/>
    </font>
    <font>
      <b/>
      <sz val="10"/>
      <color indexed="8"/>
      <name val="Arial"/>
      <family val="2"/>
    </font>
    <font>
      <b/>
      <sz val="11"/>
      <color indexed="8"/>
      <name val="Arial"/>
      <family val="2"/>
    </font>
    <font>
      <sz val="11"/>
      <color indexed="8"/>
      <name val="Arial"/>
      <family val="2"/>
    </font>
    <font>
      <b/>
      <sz val="11"/>
      <name val="Arial"/>
      <family val="2"/>
    </font>
    <font>
      <b/>
      <sz val="16"/>
      <name val="Arial"/>
      <family val="2"/>
    </font>
    <font>
      <sz val="11"/>
      <color indexed="12"/>
      <name val="Arial"/>
      <family val="2"/>
    </font>
    <font>
      <sz val="11"/>
      <name val="Arial"/>
      <family val="2"/>
    </font>
    <font>
      <u/>
      <sz val="11"/>
      <color indexed="8"/>
      <name val="Arial"/>
      <family val="2"/>
    </font>
    <font>
      <sz val="12"/>
      <color indexed="8"/>
      <name val="Arial"/>
      <family val="2"/>
    </font>
    <font>
      <sz val="12"/>
      <name val="Arial"/>
      <family val="2"/>
    </font>
    <font>
      <b/>
      <sz val="14"/>
      <color indexed="8"/>
      <name val="Arial"/>
      <family val="2"/>
    </font>
    <font>
      <sz val="14"/>
      <name val="Arial"/>
      <family val="2"/>
    </font>
    <font>
      <b/>
      <vertAlign val="superscript"/>
      <sz val="12"/>
      <name val="Arial"/>
      <family val="2"/>
    </font>
    <font>
      <sz val="10"/>
      <color rgb="FFFF0000"/>
      <name val="Arial"/>
      <family val="2"/>
    </font>
    <font>
      <b/>
      <sz val="14"/>
      <color rgb="FFFF0000"/>
      <name val="Arial"/>
      <family val="2"/>
    </font>
    <font>
      <u/>
      <sz val="10"/>
      <color theme="10"/>
      <name val="Arial"/>
      <family val="2"/>
    </font>
    <font>
      <sz val="10"/>
      <color rgb="FF00B050"/>
      <name val="Arial"/>
      <family val="2"/>
    </font>
    <font>
      <b/>
      <sz val="10"/>
      <color rgb="FFFF0000"/>
      <name val="Arial"/>
      <family val="2"/>
    </font>
    <font>
      <sz val="10"/>
      <name val="Arial"/>
      <family val="2"/>
    </font>
    <font>
      <sz val="12"/>
      <color theme="4"/>
      <name val="Arial"/>
      <family val="2"/>
    </font>
    <font>
      <sz val="11"/>
      <color theme="4"/>
      <name val="Arial"/>
      <family val="2"/>
    </font>
    <font>
      <sz val="14"/>
      <color theme="4"/>
      <name val="Arial"/>
      <family val="2"/>
    </font>
    <font>
      <b/>
      <sz val="14"/>
      <color theme="4"/>
      <name val="Arial"/>
      <family val="2"/>
    </font>
    <font>
      <sz val="16"/>
      <name val="Arial"/>
      <family val="2"/>
    </font>
    <font>
      <sz val="10"/>
      <color theme="7"/>
      <name val="Arial"/>
      <family val="2"/>
    </font>
  </fonts>
  <fills count="10">
    <fill>
      <patternFill patternType="none"/>
    </fill>
    <fill>
      <patternFill patternType="gray125"/>
    </fill>
    <fill>
      <patternFill patternType="solid">
        <fgColor theme="6" tint="0.59999389629810485"/>
        <bgColor indexed="64"/>
      </patternFill>
    </fill>
    <fill>
      <patternFill patternType="solid">
        <fgColor rgb="FFFFFFCC"/>
        <bgColor indexed="64"/>
      </patternFill>
    </fill>
    <fill>
      <patternFill patternType="solid">
        <fgColor theme="6"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59999389629810485"/>
        <bgColor indexed="64"/>
      </patternFill>
    </fill>
  </fills>
  <borders count="3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22" fillId="0" borderId="0" applyNumberFormat="0" applyFill="0" applyBorder="0" applyAlignment="0" applyProtection="0"/>
    <xf numFmtId="9" fontId="25" fillId="0" borderId="0" applyFont="0" applyFill="0" applyBorder="0" applyAlignment="0" applyProtection="0"/>
  </cellStyleXfs>
  <cellXfs count="160">
    <xf numFmtId="0" fontId="0" fillId="0" borderId="0" xfId="0"/>
    <xf numFmtId="10" fontId="4" fillId="0" borderId="0" xfId="0" applyNumberFormat="1" applyFont="1"/>
    <xf numFmtId="7" fontId="0" fillId="0" borderId="0" xfId="0" applyNumberFormat="1"/>
    <xf numFmtId="2" fontId="0" fillId="0" borderId="0" xfId="0" applyNumberFormat="1"/>
    <xf numFmtId="0" fontId="4" fillId="0" borderId="0" xfId="0" applyFont="1"/>
    <xf numFmtId="0" fontId="1" fillId="0" borderId="0" xfId="0" applyFont="1"/>
    <xf numFmtId="0" fontId="0" fillId="0" borderId="0" xfId="0" applyAlignment="1">
      <alignment horizontal="center"/>
    </xf>
    <xf numFmtId="0" fontId="3" fillId="0" borderId="6" xfId="0" applyFont="1" applyBorder="1"/>
    <xf numFmtId="0" fontId="3" fillId="0" borderId="7" xfId="0" applyFont="1" applyBorder="1"/>
    <xf numFmtId="7" fontId="3" fillId="0" borderId="8" xfId="0" applyNumberFormat="1" applyFont="1" applyBorder="1"/>
    <xf numFmtId="0" fontId="9" fillId="3" borderId="0" xfId="0" applyFont="1" applyFill="1"/>
    <xf numFmtId="171" fontId="0" fillId="0" borderId="0" xfId="0" applyNumberFormat="1"/>
    <xf numFmtId="0" fontId="22" fillId="0" borderId="0" xfId="2"/>
    <xf numFmtId="0" fontId="23" fillId="0" borderId="0" xfId="0" applyFont="1"/>
    <xf numFmtId="164" fontId="23" fillId="0" borderId="0" xfId="0" applyNumberFormat="1" applyFont="1"/>
    <xf numFmtId="0" fontId="0" fillId="5" borderId="0" xfId="0" applyFill="1"/>
    <xf numFmtId="0" fontId="10" fillId="0" borderId="15" xfId="0" applyFont="1" applyBorder="1" applyAlignment="1" applyProtection="1">
      <alignment horizontal="center"/>
      <protection hidden="1"/>
    </xf>
    <xf numFmtId="0" fontId="13" fillId="0" borderId="15" xfId="0" applyFont="1" applyBorder="1" applyAlignment="1" applyProtection="1">
      <alignment horizontal="center"/>
      <protection hidden="1"/>
    </xf>
    <xf numFmtId="0" fontId="0" fillId="6" borderId="0" xfId="0" applyFill="1"/>
    <xf numFmtId="0" fontId="3" fillId="6" borderId="0" xfId="0" applyFont="1" applyFill="1"/>
    <xf numFmtId="10" fontId="4" fillId="6" borderId="0" xfId="0" applyNumberFormat="1" applyFont="1" applyFill="1" applyAlignment="1">
      <alignment horizontal="center"/>
    </xf>
    <xf numFmtId="165" fontId="16" fillId="0" borderId="15" xfId="1" applyNumberFormat="1" applyFont="1" applyFill="1" applyBorder="1" applyAlignment="1" applyProtection="1">
      <alignment horizontal="center"/>
      <protection locked="0"/>
    </xf>
    <xf numFmtId="0" fontId="13" fillId="6" borderId="0" xfId="0" applyFont="1" applyFill="1"/>
    <xf numFmtId="2" fontId="12" fillId="6" borderId="0" xfId="0" applyNumberFormat="1" applyFont="1" applyFill="1" applyAlignment="1">
      <alignment horizontal="center"/>
    </xf>
    <xf numFmtId="0" fontId="10" fillId="6" borderId="0" xfId="0" applyFont="1" applyFill="1" applyAlignment="1">
      <alignment horizontal="right"/>
    </xf>
    <xf numFmtId="0" fontId="5" fillId="6" borderId="0" xfId="0" applyFont="1" applyFill="1" applyAlignment="1">
      <alignment horizontal="centerContinuous"/>
    </xf>
    <xf numFmtId="0" fontId="0" fillId="6" borderId="0" xfId="0" applyFill="1" applyAlignment="1">
      <alignment horizontal="centerContinuous"/>
    </xf>
    <xf numFmtId="2" fontId="4" fillId="6" borderId="0" xfId="0" applyNumberFormat="1" applyFont="1" applyFill="1" applyAlignment="1">
      <alignment horizontal="center"/>
    </xf>
    <xf numFmtId="2" fontId="3" fillId="6" borderId="0" xfId="0" applyNumberFormat="1" applyFont="1" applyFill="1" applyAlignment="1">
      <alignment horizontal="left"/>
    </xf>
    <xf numFmtId="7" fontId="0" fillId="6" borderId="0" xfId="0" applyNumberFormat="1" applyFill="1"/>
    <xf numFmtId="0" fontId="0" fillId="6" borderId="0" xfId="0" applyFill="1" applyAlignment="1">
      <alignment horizontal="center"/>
    </xf>
    <xf numFmtId="0" fontId="20" fillId="6" borderId="0" xfId="0" applyFont="1" applyFill="1" applyAlignment="1">
      <alignment horizontal="center"/>
    </xf>
    <xf numFmtId="0" fontId="1" fillId="6" borderId="0" xfId="0" applyFont="1" applyFill="1"/>
    <xf numFmtId="0" fontId="13" fillId="3" borderId="0" xfId="0" applyFont="1" applyFill="1"/>
    <xf numFmtId="167" fontId="8" fillId="3" borderId="25" xfId="0" quotePrefix="1" applyNumberFormat="1" applyFont="1" applyFill="1" applyBorder="1" applyAlignment="1">
      <alignment horizontal="left"/>
    </xf>
    <xf numFmtId="0" fontId="13" fillId="3" borderId="25" xfId="0" applyFont="1" applyFill="1" applyBorder="1"/>
    <xf numFmtId="167" fontId="9" fillId="3" borderId="25" xfId="0" quotePrefix="1" applyNumberFormat="1" applyFont="1" applyFill="1" applyBorder="1" applyAlignment="1">
      <alignment horizontal="left"/>
    </xf>
    <xf numFmtId="167" fontId="8" fillId="3" borderId="25" xfId="0" applyNumberFormat="1" applyFont="1" applyFill="1" applyBorder="1" applyAlignment="1">
      <alignment horizontal="left"/>
    </xf>
    <xf numFmtId="0" fontId="9" fillId="6" borderId="0" xfId="0" applyFont="1" applyFill="1"/>
    <xf numFmtId="168" fontId="13" fillId="6" borderId="0" xfId="0" applyNumberFormat="1" applyFont="1" applyFill="1"/>
    <xf numFmtId="167" fontId="10" fillId="3" borderId="25" xfId="0" applyNumberFormat="1" applyFont="1" applyFill="1" applyBorder="1"/>
    <xf numFmtId="167" fontId="8" fillId="3" borderId="28" xfId="0" quotePrefix="1" applyNumberFormat="1" applyFont="1" applyFill="1" applyBorder="1" applyAlignment="1">
      <alignment horizontal="left"/>
    </xf>
    <xf numFmtId="0" fontId="13" fillId="3" borderId="29" xfId="0" applyFont="1" applyFill="1" applyBorder="1"/>
    <xf numFmtId="0" fontId="5" fillId="3" borderId="28" xfId="0" applyFont="1" applyFill="1" applyBorder="1"/>
    <xf numFmtId="0" fontId="15" fillId="3" borderId="29" xfId="0" applyFont="1" applyFill="1" applyBorder="1"/>
    <xf numFmtId="168" fontId="16" fillId="3" borderId="29" xfId="0" applyNumberFormat="1" applyFont="1" applyFill="1" applyBorder="1"/>
    <xf numFmtId="0" fontId="16" fillId="3" borderId="16" xfId="0" applyFont="1" applyFill="1" applyBorder="1"/>
    <xf numFmtId="0" fontId="13" fillId="3" borderId="23" xfId="0" applyFont="1" applyFill="1" applyBorder="1"/>
    <xf numFmtId="0" fontId="13" fillId="3" borderId="24" xfId="0" applyFont="1" applyFill="1" applyBorder="1"/>
    <xf numFmtId="0" fontId="13" fillId="3" borderId="17" xfId="0" applyFont="1" applyFill="1" applyBorder="1"/>
    <xf numFmtId="0" fontId="9" fillId="3" borderId="19" xfId="0" applyFont="1" applyFill="1" applyBorder="1"/>
    <xf numFmtId="169" fontId="9" fillId="3" borderId="19" xfId="0" applyNumberFormat="1" applyFont="1" applyFill="1" applyBorder="1"/>
    <xf numFmtId="167" fontId="8" fillId="3" borderId="26" xfId="0" applyNumberFormat="1" applyFont="1" applyFill="1" applyBorder="1" applyAlignment="1">
      <alignment horizontal="left"/>
    </xf>
    <xf numFmtId="0" fontId="9" fillId="3" borderId="27" xfId="0" applyFont="1" applyFill="1" applyBorder="1"/>
    <xf numFmtId="169" fontId="9" fillId="3" borderId="22" xfId="0" applyNumberFormat="1" applyFont="1" applyFill="1" applyBorder="1"/>
    <xf numFmtId="0" fontId="9" fillId="3" borderId="29" xfId="0" applyFont="1" applyFill="1" applyBorder="1"/>
    <xf numFmtId="167" fontId="17" fillId="2" borderId="28" xfId="0" quotePrefix="1" applyNumberFormat="1" applyFont="1" applyFill="1" applyBorder="1"/>
    <xf numFmtId="167" fontId="17" fillId="2" borderId="29" xfId="0" quotePrefix="1" applyNumberFormat="1" applyFont="1" applyFill="1" applyBorder="1"/>
    <xf numFmtId="0" fontId="3" fillId="0" borderId="11" xfId="0" applyFont="1" applyBorder="1" applyAlignment="1">
      <alignment horizontal="center" vertical="center" wrapText="1"/>
    </xf>
    <xf numFmtId="0" fontId="3" fillId="0" borderId="13" xfId="0" applyFont="1" applyBorder="1"/>
    <xf numFmtId="0" fontId="3" fillId="0" borderId="9" xfId="0" applyFont="1" applyBorder="1"/>
    <xf numFmtId="10" fontId="0" fillId="0" borderId="12" xfId="0" applyNumberFormat="1" applyBorder="1" applyAlignment="1">
      <alignment horizontal="center" vertical="center"/>
    </xf>
    <xf numFmtId="0" fontId="0" fillId="0" borderId="1" xfId="0" applyBorder="1"/>
    <xf numFmtId="7" fontId="0" fillId="0" borderId="2" xfId="0" applyNumberFormat="1" applyBorder="1"/>
    <xf numFmtId="173" fontId="1" fillId="0" borderId="2" xfId="0" applyNumberFormat="1" applyFont="1" applyBorder="1"/>
    <xf numFmtId="0" fontId="1" fillId="0" borderId="3" xfId="0" applyFont="1" applyBorder="1"/>
    <xf numFmtId="10" fontId="0" fillId="0" borderId="5" xfId="3" applyNumberFormat="1" applyFont="1" applyBorder="1" applyProtection="1"/>
    <xf numFmtId="166" fontId="0" fillId="0" borderId="0" xfId="0" applyNumberFormat="1"/>
    <xf numFmtId="172" fontId="0" fillId="0" borderId="0" xfId="0" applyNumberFormat="1"/>
    <xf numFmtId="0" fontId="0" fillId="0" borderId="3" xfId="0" applyBorder="1"/>
    <xf numFmtId="173" fontId="1" fillId="0" borderId="5" xfId="0" applyNumberFormat="1" applyFont="1" applyBorder="1"/>
    <xf numFmtId="10" fontId="0" fillId="0" borderId="10" xfId="0" applyNumberFormat="1" applyBorder="1" applyAlignment="1">
      <alignment horizontal="center" vertical="center"/>
    </xf>
    <xf numFmtId="0" fontId="3" fillId="6" borderId="0" xfId="0" applyFont="1" applyFill="1" applyAlignment="1">
      <alignment horizontal="right"/>
    </xf>
    <xf numFmtId="7" fontId="13" fillId="2" borderId="15" xfId="0" applyNumberFormat="1" applyFont="1" applyFill="1" applyBorder="1"/>
    <xf numFmtId="0" fontId="13" fillId="2" borderId="15" xfId="0" applyFont="1" applyFill="1" applyBorder="1" applyAlignment="1">
      <alignment horizontal="center"/>
    </xf>
    <xf numFmtId="0" fontId="13" fillId="3" borderId="16" xfId="0" applyFont="1" applyFill="1" applyBorder="1"/>
    <xf numFmtId="168" fontId="8" fillId="3" borderId="15" xfId="0" applyNumberFormat="1" applyFont="1" applyFill="1" applyBorder="1"/>
    <xf numFmtId="0" fontId="13" fillId="3" borderId="21" xfId="0" applyFont="1" applyFill="1" applyBorder="1"/>
    <xf numFmtId="167" fontId="9" fillId="3" borderId="21" xfId="0" applyNumberFormat="1" applyFont="1" applyFill="1" applyBorder="1" applyAlignment="1">
      <alignment horizontal="left"/>
    </xf>
    <xf numFmtId="168" fontId="9" fillId="3" borderId="20" xfId="0" applyNumberFormat="1" applyFont="1" applyFill="1" applyBorder="1" applyAlignment="1">
      <alignment horizontal="right"/>
    </xf>
    <xf numFmtId="0" fontId="13" fillId="3" borderId="20" xfId="0" applyFont="1" applyFill="1" applyBorder="1"/>
    <xf numFmtId="10" fontId="13" fillId="3" borderId="20" xfId="0" applyNumberFormat="1" applyFont="1" applyFill="1" applyBorder="1" applyAlignment="1">
      <alignment horizontal="right"/>
    </xf>
    <xf numFmtId="168" fontId="13" fillId="3" borderId="20" xfId="1" applyNumberFormat="1" applyFont="1" applyFill="1" applyBorder="1" applyAlignment="1" applyProtection="1">
      <alignment horizontal="right"/>
    </xf>
    <xf numFmtId="0" fontId="13" fillId="3" borderId="20" xfId="0" applyFont="1" applyFill="1" applyBorder="1" applyAlignment="1">
      <alignment horizontal="right"/>
    </xf>
    <xf numFmtId="0" fontId="9" fillId="3" borderId="20" xfId="0" applyFont="1" applyFill="1" applyBorder="1"/>
    <xf numFmtId="167" fontId="9" fillId="3" borderId="20" xfId="0" applyNumberFormat="1" applyFont="1" applyFill="1" applyBorder="1" applyAlignment="1">
      <alignment horizontal="right"/>
    </xf>
    <xf numFmtId="0" fontId="9" fillId="3" borderId="18" xfId="0" applyFont="1" applyFill="1" applyBorder="1"/>
    <xf numFmtId="168" fontId="13" fillId="3" borderId="16" xfId="0" applyNumberFormat="1" applyFont="1" applyFill="1" applyBorder="1"/>
    <xf numFmtId="0" fontId="18" fillId="2" borderId="29" xfId="0" applyFont="1" applyFill="1" applyBorder="1"/>
    <xf numFmtId="169" fontId="17" fillId="2" borderId="16" xfId="0" applyNumberFormat="1" applyFont="1" applyFill="1" applyBorder="1" applyAlignment="1">
      <alignment shrinkToFit="1"/>
    </xf>
    <xf numFmtId="168" fontId="17" fillId="2" borderId="15" xfId="0" quotePrefix="1" applyNumberFormat="1" applyFont="1" applyFill="1" applyBorder="1"/>
    <xf numFmtId="0" fontId="21" fillId="6" borderId="28" xfId="0" quotePrefix="1" applyFont="1" applyFill="1" applyBorder="1" applyAlignment="1">
      <alignment horizontal="left"/>
    </xf>
    <xf numFmtId="0" fontId="21" fillId="6" borderId="29" xfId="0" applyFont="1" applyFill="1" applyBorder="1"/>
    <xf numFmtId="168" fontId="21" fillId="6" borderId="16" xfId="0" applyNumberFormat="1" applyFont="1" applyFill="1" applyBorder="1"/>
    <xf numFmtId="0" fontId="7" fillId="6" borderId="0" xfId="0" applyFont="1" applyFill="1"/>
    <xf numFmtId="0" fontId="13" fillId="0" borderId="0" xfId="0" applyFont="1" applyAlignment="1">
      <alignment vertical="justify" wrapText="1"/>
    </xf>
    <xf numFmtId="0" fontId="10" fillId="6" borderId="0" xfId="0" applyFont="1" applyFill="1"/>
    <xf numFmtId="167" fontId="8" fillId="6" borderId="0" xfId="0" applyNumberFormat="1" applyFont="1" applyFill="1" applyAlignment="1">
      <alignment horizontal="left"/>
    </xf>
    <xf numFmtId="168" fontId="0" fillId="6" borderId="0" xfId="0" applyNumberFormat="1" applyFill="1"/>
    <xf numFmtId="0" fontId="10" fillId="3" borderId="23" xfId="0" applyFont="1" applyFill="1" applyBorder="1"/>
    <xf numFmtId="0" fontId="13" fillId="3" borderId="19" xfId="0" applyFont="1" applyFill="1" applyBorder="1"/>
    <xf numFmtId="0" fontId="14" fillId="3" borderId="27" xfId="0" applyFont="1" applyFill="1" applyBorder="1"/>
    <xf numFmtId="0" fontId="14" fillId="3" borderId="22" xfId="0" applyFont="1" applyFill="1" applyBorder="1"/>
    <xf numFmtId="0" fontId="0" fillId="6" borderId="1" xfId="0" applyFill="1" applyBorder="1"/>
    <xf numFmtId="0" fontId="0" fillId="6" borderId="2" xfId="0" applyFill="1" applyBorder="1"/>
    <xf numFmtId="0" fontId="13" fillId="6" borderId="3" xfId="0" applyFont="1" applyFill="1" applyBorder="1" applyAlignment="1">
      <alignment vertical="justify" wrapText="1"/>
    </xf>
    <xf numFmtId="0" fontId="13" fillId="6" borderId="5" xfId="0" applyFont="1" applyFill="1" applyBorder="1" applyAlignment="1">
      <alignment vertical="justify" wrapText="1"/>
    </xf>
    <xf numFmtId="7" fontId="1" fillId="0" borderId="0" xfId="0" applyNumberFormat="1" applyFont="1"/>
    <xf numFmtId="14" fontId="0" fillId="0" borderId="0" xfId="0" applyNumberFormat="1"/>
    <xf numFmtId="0" fontId="31" fillId="5" borderId="0" xfId="0" applyFont="1" applyFill="1"/>
    <xf numFmtId="7" fontId="9" fillId="3" borderId="18" xfId="0" applyNumberFormat="1" applyFont="1" applyFill="1" applyBorder="1" applyAlignment="1">
      <alignment horizontal="right"/>
    </xf>
    <xf numFmtId="168" fontId="9" fillId="3" borderId="20" xfId="0" applyNumberFormat="1" applyFont="1" applyFill="1" applyBorder="1"/>
    <xf numFmtId="168" fontId="13" fillId="3" borderId="20" xfId="1" applyNumberFormat="1" applyFont="1" applyFill="1" applyBorder="1" applyProtection="1"/>
    <xf numFmtId="168" fontId="9" fillId="3" borderId="18" xfId="0" applyNumberFormat="1" applyFont="1" applyFill="1" applyBorder="1"/>
    <xf numFmtId="0" fontId="11" fillId="6" borderId="13" xfId="0" applyFont="1" applyFill="1" applyBorder="1" applyAlignment="1">
      <alignment horizontal="centerContinuous" vertical="center"/>
    </xf>
    <xf numFmtId="0" fontId="11" fillId="6" borderId="14" xfId="0" applyFont="1" applyFill="1" applyBorder="1" applyAlignment="1">
      <alignment horizontal="centerContinuous" vertical="center"/>
    </xf>
    <xf numFmtId="0" fontId="11" fillId="6" borderId="9" xfId="0" applyFont="1" applyFill="1" applyBorder="1" applyAlignment="1">
      <alignment horizontal="centerContinuous" vertical="center"/>
    </xf>
    <xf numFmtId="0" fontId="0" fillId="6" borderId="1" xfId="0" applyFill="1" applyBorder="1" applyAlignment="1">
      <alignment horizontal="centerContinuous"/>
    </xf>
    <xf numFmtId="0" fontId="11" fillId="6" borderId="0" xfId="0" applyFont="1" applyFill="1" applyAlignment="1">
      <alignment horizontal="centerContinuous" vertical="center" wrapText="1"/>
    </xf>
    <xf numFmtId="0" fontId="0" fillId="6" borderId="2" xfId="0" applyFill="1" applyBorder="1" applyAlignment="1">
      <alignment horizontal="centerContinuous"/>
    </xf>
    <xf numFmtId="0" fontId="30" fillId="6" borderId="0" xfId="0" applyFont="1" applyFill="1" applyAlignment="1">
      <alignment horizontal="centerContinuous" vertical="center" wrapText="1"/>
    </xf>
    <xf numFmtId="0" fontId="6" fillId="7" borderId="15" xfId="0" applyFont="1" applyFill="1" applyBorder="1" applyAlignment="1">
      <alignment horizontal="center"/>
    </xf>
    <xf numFmtId="0" fontId="13" fillId="7" borderId="15" xfId="0" applyFont="1" applyFill="1" applyBorder="1" applyAlignment="1">
      <alignment horizontal="center"/>
    </xf>
    <xf numFmtId="0" fontId="5" fillId="7" borderId="15" xfId="0" applyFont="1" applyFill="1" applyBorder="1" applyAlignment="1">
      <alignment horizontal="center"/>
    </xf>
    <xf numFmtId="0" fontId="10" fillId="7" borderId="15" xfId="0" applyFont="1" applyFill="1" applyBorder="1" applyAlignment="1">
      <alignment horizontal="center" wrapText="1"/>
    </xf>
    <xf numFmtId="0" fontId="10" fillId="7" borderId="16" xfId="0" applyFont="1" applyFill="1" applyBorder="1" applyAlignment="1">
      <alignment horizontal="center" wrapText="1"/>
    </xf>
    <xf numFmtId="0" fontId="10" fillId="7" borderId="15" xfId="0" applyFont="1" applyFill="1" applyBorder="1" applyAlignment="1">
      <alignment horizontal="center" vertical="top" wrapText="1"/>
    </xf>
    <xf numFmtId="0" fontId="10" fillId="7" borderId="28" xfId="0" applyFont="1" applyFill="1" applyBorder="1" applyAlignment="1">
      <alignment horizontal="center" vertical="top" wrapText="1"/>
    </xf>
    <xf numFmtId="0" fontId="10" fillId="7" borderId="15" xfId="0" applyFont="1" applyFill="1" applyBorder="1" applyAlignment="1">
      <alignment horizontal="center" vertical="center"/>
    </xf>
    <xf numFmtId="0" fontId="10" fillId="7" borderId="15" xfId="0" applyFont="1" applyFill="1" applyBorder="1" applyAlignment="1">
      <alignment horizontal="center"/>
    </xf>
    <xf numFmtId="0" fontId="10" fillId="7" borderId="15" xfId="0" applyFont="1" applyFill="1" applyBorder="1"/>
    <xf numFmtId="0" fontId="5" fillId="7" borderId="15" xfId="0" applyFont="1" applyFill="1" applyBorder="1"/>
    <xf numFmtId="1" fontId="13" fillId="8" borderId="15" xfId="0" applyNumberFormat="1" applyFont="1" applyFill="1" applyBorder="1" applyAlignment="1">
      <alignment horizontal="center"/>
    </xf>
    <xf numFmtId="0" fontId="26" fillId="9" borderId="16" xfId="0" applyFont="1" applyFill="1" applyBorder="1" applyAlignment="1" applyProtection="1">
      <alignment horizontal="center"/>
      <protection locked="0"/>
    </xf>
    <xf numFmtId="0" fontId="26" fillId="9" borderId="15" xfId="0" applyFont="1" applyFill="1" applyBorder="1" applyAlignment="1" applyProtection="1">
      <alignment horizontal="center"/>
      <protection locked="0"/>
    </xf>
    <xf numFmtId="1" fontId="27" fillId="9" borderId="15" xfId="0" applyNumberFormat="1" applyFont="1" applyFill="1" applyBorder="1" applyAlignment="1" applyProtection="1">
      <alignment horizontal="center"/>
      <protection locked="0"/>
    </xf>
    <xf numFmtId="170" fontId="26" fillId="9" borderId="15" xfId="0" applyNumberFormat="1" applyFont="1" applyFill="1" applyBorder="1" applyAlignment="1" applyProtection="1">
      <alignment horizontal="center"/>
      <protection locked="0"/>
    </xf>
    <xf numFmtId="170" fontId="26" fillId="9" borderId="16" xfId="0" applyNumberFormat="1" applyFont="1" applyFill="1" applyBorder="1" applyAlignment="1" applyProtection="1">
      <alignment horizontal="center"/>
      <protection locked="0"/>
    </xf>
    <xf numFmtId="170" fontId="26" fillId="9" borderId="28" xfId="0" applyNumberFormat="1" applyFont="1" applyFill="1" applyBorder="1" applyAlignment="1" applyProtection="1">
      <alignment horizontal="center"/>
      <protection locked="0"/>
    </xf>
    <xf numFmtId="10" fontId="26" fillId="9" borderId="15" xfId="0" applyNumberFormat="1" applyFont="1" applyFill="1" applyBorder="1" applyAlignment="1" applyProtection="1">
      <alignment horizontal="center"/>
      <protection locked="0"/>
    </xf>
    <xf numFmtId="174" fontId="26" fillId="9" borderId="16" xfId="1" applyNumberFormat="1" applyFont="1" applyFill="1" applyBorder="1" applyAlignment="1" applyProtection="1">
      <alignment horizontal="center" vertical="center"/>
      <protection locked="0"/>
    </xf>
    <xf numFmtId="174" fontId="26" fillId="9" borderId="16" xfId="1" applyNumberFormat="1" applyFont="1" applyFill="1" applyBorder="1" applyAlignment="1" applyProtection="1">
      <alignment horizontal="center"/>
      <protection locked="0"/>
    </xf>
    <xf numFmtId="174" fontId="26" fillId="9" borderId="18" xfId="1" applyNumberFormat="1" applyFont="1" applyFill="1" applyBorder="1" applyAlignment="1" applyProtection="1">
      <alignment horizontal="center"/>
      <protection locked="0"/>
    </xf>
    <xf numFmtId="0" fontId="13" fillId="6" borderId="4" xfId="0" applyFont="1" applyFill="1" applyBorder="1" applyAlignment="1">
      <alignment horizontal="justify" vertical="justify" wrapText="1"/>
    </xf>
    <xf numFmtId="0" fontId="13" fillId="6" borderId="0" xfId="0" applyFont="1" applyFill="1" applyAlignment="1">
      <alignment horizontal="left" vertical="top" wrapText="1"/>
    </xf>
    <xf numFmtId="0" fontId="10" fillId="6" borderId="0" xfId="0" applyFont="1" applyFill="1" applyAlignment="1">
      <alignment wrapText="1"/>
    </xf>
    <xf numFmtId="0" fontId="5" fillId="7" borderId="15" xfId="0" applyFont="1" applyFill="1" applyBorder="1" applyAlignment="1">
      <alignment horizontal="right" vertical="center" wrapText="1"/>
    </xf>
    <xf numFmtId="0" fontId="28" fillId="9" borderId="16" xfId="0" applyFont="1" applyFill="1" applyBorder="1" applyAlignment="1" applyProtection="1">
      <alignment horizontal="center"/>
      <protection locked="0"/>
    </xf>
    <xf numFmtId="0" fontId="29" fillId="9" borderId="15" xfId="0" applyFont="1" applyFill="1" applyBorder="1" applyAlignment="1" applyProtection="1">
      <alignment horizontal="center"/>
      <protection locked="0"/>
    </xf>
    <xf numFmtId="1" fontId="10" fillId="4" borderId="15" xfId="0" applyNumberFormat="1" applyFont="1" applyFill="1" applyBorder="1" applyAlignment="1">
      <alignment horizontal="center" vertical="center"/>
    </xf>
    <xf numFmtId="0" fontId="3" fillId="0" borderId="15" xfId="0" applyFont="1" applyBorder="1" applyAlignment="1">
      <alignment horizontal="center"/>
    </xf>
    <xf numFmtId="0" fontId="10" fillId="4" borderId="15" xfId="0" applyFont="1" applyFill="1" applyBorder="1" applyAlignment="1">
      <alignment horizontal="center" vertical="center"/>
    </xf>
    <xf numFmtId="0" fontId="3" fillId="2" borderId="0" xfId="0" applyFont="1" applyFill="1" applyAlignment="1">
      <alignment horizontal="center" vertical="top" wrapText="1"/>
    </xf>
    <xf numFmtId="0" fontId="5" fillId="7" borderId="15" xfId="0" applyFont="1" applyFill="1" applyBorder="1" applyAlignment="1">
      <alignment horizontal="right"/>
    </xf>
    <xf numFmtId="0" fontId="3" fillId="6" borderId="0" xfId="0" applyFont="1" applyFill="1" applyAlignment="1">
      <alignment horizontal="left" vertical="top" wrapText="1"/>
    </xf>
    <xf numFmtId="0" fontId="10" fillId="7" borderId="18" xfId="0" applyFont="1" applyFill="1" applyBorder="1" applyAlignment="1">
      <alignment horizontal="right"/>
    </xf>
    <xf numFmtId="0" fontId="10" fillId="7" borderId="26" xfId="0" applyFont="1" applyFill="1" applyBorder="1" applyAlignment="1">
      <alignment horizontal="right"/>
    </xf>
    <xf numFmtId="0" fontId="5" fillId="3" borderId="15" xfId="0" applyFont="1" applyFill="1" applyBorder="1" applyAlignment="1">
      <alignment horizontal="center"/>
    </xf>
    <xf numFmtId="0" fontId="10" fillId="2" borderId="0" xfId="0" applyFont="1" applyFill="1" applyAlignment="1">
      <alignment horizontal="center" wrapText="1"/>
    </xf>
    <xf numFmtId="0" fontId="5" fillId="7" borderId="15" xfId="0" applyFont="1" applyFill="1" applyBorder="1" applyAlignment="1">
      <alignment horizontal="center" vertical="center"/>
    </xf>
  </cellXfs>
  <cellStyles count="4">
    <cellStyle name="Currency" xfId="1" builtinId="4"/>
    <cellStyle name="Hyperlink" xfId="2" builtinId="8"/>
    <cellStyle name="Normal" xfId="0" builtinId="0"/>
    <cellStyle name="Percent" xfId="3" builtinId="5"/>
  </cellStyles>
  <dxfs count="16">
    <dxf>
      <font>
        <color theme="0"/>
      </font>
      <fill>
        <patternFill>
          <bgColor theme="0"/>
        </patternFill>
      </fill>
      <border>
        <left/>
        <top/>
        <vertical/>
        <horizontal/>
      </border>
    </dxf>
    <dxf>
      <font>
        <color theme="0"/>
      </font>
      <fill>
        <patternFill>
          <bgColor theme="0"/>
        </patternFill>
      </fill>
      <border>
        <left/>
        <bottom/>
        <vertical/>
        <horizontal/>
      </border>
    </dxf>
    <dxf>
      <font>
        <color theme="0"/>
      </font>
      <fill>
        <patternFill>
          <bgColor theme="0"/>
        </patternFill>
      </fill>
      <border>
        <top/>
        <vertical/>
        <horizontal/>
      </border>
    </dxf>
    <dxf>
      <font>
        <color theme="0"/>
      </font>
      <fill>
        <patternFill>
          <bgColor theme="0"/>
        </patternFill>
      </fill>
      <border>
        <bottom/>
        <vertical/>
        <horizontal/>
      </border>
    </dxf>
    <dxf>
      <font>
        <color theme="0"/>
      </font>
      <fill>
        <patternFill>
          <bgColor theme="0"/>
        </patternFill>
      </fill>
      <border>
        <left/>
        <right/>
        <top/>
        <vertical/>
        <horizontal/>
      </border>
    </dxf>
    <dxf>
      <font>
        <color theme="0"/>
      </font>
      <fill>
        <patternFill>
          <bgColor theme="0"/>
        </patternFill>
      </fill>
      <border>
        <left/>
        <right/>
        <bottom/>
        <vertical/>
        <horizontal/>
      </border>
    </dxf>
    <dxf>
      <font>
        <color theme="0"/>
      </font>
      <fill>
        <patternFill>
          <bgColor theme="0"/>
        </patternFill>
      </fill>
      <border>
        <bottom/>
      </border>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bottom/>
        <vertical/>
        <horizontal/>
      </border>
    </dxf>
    <dxf>
      <font>
        <strike val="0"/>
        <outline val="0"/>
        <shadow val="0"/>
        <u val="none"/>
        <vertAlign val="baseline"/>
        <sz val="10"/>
        <color rgb="FF00B050"/>
        <name val="Arial"/>
        <scheme val="none"/>
      </font>
      <numFmt numFmtId="164" formatCode="&quot;$&quot;#,##0.00;[Red]\-&quot;$&quot;#,##0.00"/>
    </dxf>
    <dxf>
      <font>
        <strike val="0"/>
        <outline val="0"/>
        <shadow val="0"/>
        <u val="none"/>
        <vertAlign val="baseline"/>
        <sz val="10"/>
        <color rgb="FF00B050"/>
        <name val="Arial"/>
        <scheme val="none"/>
      </font>
      <numFmt numFmtId="164" formatCode="&quot;$&quot;#,##0.00;[Red]\-&quot;$&quot;#,##0.00"/>
    </dxf>
    <dxf>
      <font>
        <strike val="0"/>
        <outline val="0"/>
        <shadow val="0"/>
        <u val="none"/>
        <vertAlign val="baseline"/>
        <sz val="10"/>
        <color rgb="FF00B050"/>
        <name val="Arial"/>
        <scheme val="none"/>
      </font>
    </dxf>
    <dxf>
      <font>
        <strike val="0"/>
        <outline val="0"/>
        <shadow val="0"/>
        <u val="none"/>
        <vertAlign val="baseline"/>
        <sz val="10"/>
        <color rgb="FF00B050"/>
        <name val="Arial"/>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max" displayName="tablemax" ref="H5:J42" totalsRowShown="0" dataDxfId="15">
  <autoFilter ref="H5:J42" xr:uid="{00000000-0009-0000-0100-000001000000}"/>
  <tableColumns count="3">
    <tableColumn id="1" xr3:uid="{00000000-0010-0000-0000-000001000000}" name="Année" dataDxfId="14"/>
    <tableColumn id="2" xr3:uid="{00000000-0010-0000-0000-000002000000}" name="Plafond des PD" dataDxfId="13"/>
    <tableColumn id="3" xr3:uid="{00000000-0010-0000-0000-000003000000}" name="Salaire max" dataDxfId="12">
      <calculatedColumnFormula>+tablemax[[#This Row],[Plafond des PD]]/0.02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canada.ca/en/revenue-agency/services/tax/registered-plans-administrators/pspa/mp-rrsp-dpsp-tfsa-limits-ymp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67"/>
  <sheetViews>
    <sheetView tabSelected="1" view="pageBreakPreview" zoomScaleNormal="100" zoomScaleSheetLayoutView="100" workbookViewId="0">
      <selection activeCell="F13" sqref="F13"/>
    </sheetView>
  </sheetViews>
  <sheetFormatPr defaultColWidth="0" defaultRowHeight="12.75" x14ac:dyDescent="0.2"/>
  <cols>
    <col min="1" max="1" width="2.7109375" style="18" customWidth="1"/>
    <col min="2" max="2" width="31" customWidth="1"/>
    <col min="3" max="4" width="21.5703125" customWidth="1"/>
    <col min="5" max="5" width="18.28515625" customWidth="1"/>
    <col min="6" max="7" width="20.85546875" customWidth="1"/>
    <col min="8" max="8" width="15.5703125" customWidth="1"/>
    <col min="9" max="9" width="2.7109375" style="18" customWidth="1"/>
    <col min="10" max="10" width="12.28515625" hidden="1" customWidth="1"/>
    <col min="11" max="16384" width="11.42578125" hidden="1"/>
  </cols>
  <sheetData>
    <row r="1" spans="1:20" ht="31.5" customHeight="1" thickBot="1" x14ac:dyDescent="0.25">
      <c r="A1" s="114" t="s">
        <v>0</v>
      </c>
      <c r="B1" s="115"/>
      <c r="C1" s="115"/>
      <c r="D1" s="115"/>
      <c r="E1" s="115"/>
      <c r="F1" s="115"/>
      <c r="G1" s="115"/>
      <c r="H1" s="115"/>
      <c r="I1" s="116"/>
      <c r="J1" s="5" t="s">
        <v>1</v>
      </c>
    </row>
    <row r="2" spans="1:20" ht="38.25" customHeight="1" x14ac:dyDescent="0.2">
      <c r="A2" s="117"/>
      <c r="B2" s="118" t="s">
        <v>2</v>
      </c>
      <c r="C2" s="118"/>
      <c r="D2" s="118"/>
      <c r="E2" s="118"/>
      <c r="F2" s="118"/>
      <c r="G2" s="118"/>
      <c r="H2" s="118"/>
      <c r="I2" s="119"/>
      <c r="J2" s="109" t="s">
        <v>3</v>
      </c>
      <c r="N2" s="58" t="s">
        <v>4</v>
      </c>
      <c r="P2" s="59" t="s">
        <v>5</v>
      </c>
      <c r="Q2" s="60" t="s">
        <v>6</v>
      </c>
      <c r="S2" s="59" t="s">
        <v>7</v>
      </c>
      <c r="T2" s="60" t="s">
        <v>8</v>
      </c>
    </row>
    <row r="3" spans="1:20" ht="20.25" customHeight="1" x14ac:dyDescent="0.2">
      <c r="A3" s="117"/>
      <c r="B3" s="120" t="str">
        <f>CONCATENATE("(pour calcul de l'année ",Calculatrice!$A$7,")")</f>
        <v>(pour calcul de l'année 2026)</v>
      </c>
      <c r="C3" s="120"/>
      <c r="D3" s="120"/>
      <c r="E3" s="120"/>
      <c r="F3" s="120"/>
      <c r="G3" s="120"/>
      <c r="H3" s="120"/>
      <c r="I3" s="119"/>
      <c r="N3" s="61">
        <v>0</v>
      </c>
      <c r="P3" s="62">
        <v>1</v>
      </c>
      <c r="Q3" s="64" t="s">
        <v>9</v>
      </c>
      <c r="S3" s="62">
        <f>+C9-1</f>
        <v>-1</v>
      </c>
      <c r="T3" s="63">
        <f>+$E$12</f>
        <v>0</v>
      </c>
    </row>
    <row r="4" spans="1:20" ht="15.75" x14ac:dyDescent="0.25">
      <c r="A4" s="103"/>
      <c r="B4" s="25"/>
      <c r="C4" s="25"/>
      <c r="D4" s="25"/>
      <c r="E4" s="25"/>
      <c r="F4" s="26"/>
      <c r="G4" s="18"/>
      <c r="H4" s="18"/>
      <c r="I4" s="104"/>
      <c r="N4" s="61">
        <f t="shared" ref="N4:N8" si="0">+N3+0.0025</f>
        <v>2.5000000000000001E-3</v>
      </c>
      <c r="P4" s="62">
        <f>+P3+1</f>
        <v>2</v>
      </c>
      <c r="Q4" s="64" t="s">
        <v>10</v>
      </c>
      <c r="S4" s="62">
        <f>+C10</f>
        <v>0</v>
      </c>
      <c r="T4" s="63">
        <f>$E$13</f>
        <v>0</v>
      </c>
    </row>
    <row r="5" spans="1:20" ht="18.75" thickBot="1" x14ac:dyDescent="0.3">
      <c r="A5" s="103"/>
      <c r="B5" s="121" t="s">
        <v>11</v>
      </c>
      <c r="C5" s="147"/>
      <c r="D5" s="148"/>
      <c r="E5" s="148"/>
      <c r="F5" s="26"/>
      <c r="G5" s="18"/>
      <c r="H5" s="18"/>
      <c r="I5" s="104"/>
      <c r="N5" s="61">
        <f t="shared" si="0"/>
        <v>5.0000000000000001E-3</v>
      </c>
      <c r="P5" s="62">
        <f t="shared" ref="P5:P7" si="1">+P4+1</f>
        <v>3</v>
      </c>
      <c r="Q5" s="64" t="s">
        <v>12</v>
      </c>
      <c r="S5" s="65" t="s">
        <v>13</v>
      </c>
      <c r="T5" s="66" t="e">
        <f>FLOOR(POWER(T4/T3,1/(S4-S3))-1,0.0025)</f>
        <v>#DIV/0!</v>
      </c>
    </row>
    <row r="6" spans="1:20" ht="15.75" x14ac:dyDescent="0.25">
      <c r="A6" s="103"/>
      <c r="B6" s="25"/>
      <c r="C6" s="25"/>
      <c r="D6" s="25"/>
      <c r="E6" s="25"/>
      <c r="F6" s="26"/>
      <c r="G6" s="18"/>
      <c r="H6" s="18"/>
      <c r="I6" s="104"/>
      <c r="N6" s="61">
        <f t="shared" si="0"/>
        <v>7.4999999999999997E-3</v>
      </c>
      <c r="P6" s="62">
        <f t="shared" si="1"/>
        <v>4</v>
      </c>
      <c r="Q6" s="64" t="s">
        <v>14</v>
      </c>
    </row>
    <row r="7" spans="1:20" ht="14.25" x14ac:dyDescent="0.2">
      <c r="A7" s="103"/>
      <c r="B7" s="18"/>
      <c r="C7" s="122" t="s">
        <v>7</v>
      </c>
      <c r="D7" s="122" t="s">
        <v>5</v>
      </c>
      <c r="E7" s="122" t="s">
        <v>15</v>
      </c>
      <c r="F7" s="22"/>
      <c r="G7" s="22"/>
      <c r="H7" s="22"/>
      <c r="I7" s="104"/>
      <c r="J7" s="67"/>
      <c r="N7" s="61">
        <f t="shared" si="0"/>
        <v>0.01</v>
      </c>
      <c r="P7" s="62">
        <f t="shared" si="1"/>
        <v>5</v>
      </c>
      <c r="Q7" s="64" t="s">
        <v>16</v>
      </c>
    </row>
    <row r="8" spans="1:20" ht="15.75" x14ac:dyDescent="0.25">
      <c r="A8" s="103"/>
      <c r="B8" s="123" t="s">
        <v>17</v>
      </c>
      <c r="C8" s="133"/>
      <c r="D8" s="134"/>
      <c r="E8" s="132">
        <v>1</v>
      </c>
      <c r="F8" s="22" t="s">
        <v>18</v>
      </c>
      <c r="G8" s="22"/>
      <c r="H8" s="22"/>
      <c r="I8" s="104"/>
      <c r="J8" s="68"/>
      <c r="N8" s="61">
        <f t="shared" si="0"/>
        <v>1.2500000000000001E-2</v>
      </c>
      <c r="P8" s="62">
        <f t="shared" ref="P8:P13" si="2">+P7+1</f>
        <v>6</v>
      </c>
      <c r="Q8" s="64" t="s">
        <v>19</v>
      </c>
    </row>
    <row r="9" spans="1:20" ht="15.75" x14ac:dyDescent="0.25">
      <c r="A9" s="103"/>
      <c r="B9" s="123" t="s">
        <v>20</v>
      </c>
      <c r="C9" s="133"/>
      <c r="D9" s="132">
        <v>12</v>
      </c>
      <c r="E9" s="132">
        <v>31</v>
      </c>
      <c r="F9" s="22" t="s">
        <v>21</v>
      </c>
      <c r="G9" s="27"/>
      <c r="H9" s="18"/>
      <c r="I9" s="104"/>
      <c r="J9" s="68"/>
      <c r="N9" s="61">
        <f>+N8+0.0025</f>
        <v>1.5000000000000001E-2</v>
      </c>
      <c r="P9" s="62">
        <f t="shared" si="2"/>
        <v>7</v>
      </c>
      <c r="Q9" s="64" t="s">
        <v>22</v>
      </c>
    </row>
    <row r="10" spans="1:20" ht="15.75" x14ac:dyDescent="0.25">
      <c r="A10" s="103"/>
      <c r="B10" s="123" t="s">
        <v>23</v>
      </c>
      <c r="C10" s="133"/>
      <c r="D10" s="135"/>
      <c r="E10" s="135"/>
      <c r="F10" s="22"/>
      <c r="G10" s="27"/>
      <c r="H10" s="18"/>
      <c r="I10" s="104"/>
      <c r="N10" s="61">
        <f>+N9+0.0025</f>
        <v>1.7500000000000002E-2</v>
      </c>
      <c r="P10" s="62">
        <f t="shared" si="2"/>
        <v>8</v>
      </c>
      <c r="Q10" s="64" t="s">
        <v>24</v>
      </c>
    </row>
    <row r="11" spans="1:20" ht="14.25" customHeight="1" x14ac:dyDescent="0.25">
      <c r="A11" s="103"/>
      <c r="B11" s="25"/>
      <c r="C11" s="25"/>
      <c r="D11" s="25"/>
      <c r="E11" s="25"/>
      <c r="F11" s="26"/>
      <c r="G11" s="18"/>
      <c r="H11" s="18"/>
      <c r="I11" s="104"/>
      <c r="N11" s="61">
        <f>+N9+0.25%</f>
        <v>1.7500000000000002E-2</v>
      </c>
      <c r="P11" s="62">
        <f t="shared" si="2"/>
        <v>9</v>
      </c>
      <c r="Q11" s="64" t="s">
        <v>25</v>
      </c>
    </row>
    <row r="12" spans="1:20" ht="14.25" customHeight="1" x14ac:dyDescent="0.2">
      <c r="A12" s="103"/>
      <c r="B12" s="146" t="s">
        <v>26</v>
      </c>
      <c r="C12" s="146"/>
      <c r="D12" s="146"/>
      <c r="E12" s="140"/>
      <c r="F12" s="22" t="s">
        <v>78</v>
      </c>
      <c r="G12" s="18"/>
      <c r="H12" s="18"/>
      <c r="I12" s="104"/>
      <c r="N12" s="61">
        <f>+N11+0.25%</f>
        <v>0.02</v>
      </c>
      <c r="P12" s="62">
        <f t="shared" si="2"/>
        <v>10</v>
      </c>
      <c r="Q12" s="64" t="s">
        <v>27</v>
      </c>
    </row>
    <row r="13" spans="1:20" ht="14.25" customHeight="1" x14ac:dyDescent="0.25">
      <c r="A13" s="103"/>
      <c r="B13" s="153" t="s">
        <v>28</v>
      </c>
      <c r="C13" s="153"/>
      <c r="D13" s="153"/>
      <c r="E13" s="141"/>
      <c r="F13" s="18"/>
      <c r="G13" s="18"/>
      <c r="H13" s="18"/>
      <c r="I13" s="104"/>
      <c r="N13" s="61">
        <f>+N10+0.0025</f>
        <v>0.02</v>
      </c>
      <c r="P13" s="62">
        <f t="shared" si="2"/>
        <v>11</v>
      </c>
      <c r="Q13" s="64" t="s">
        <v>29</v>
      </c>
    </row>
    <row r="14" spans="1:20" ht="15" customHeight="1" thickBot="1" x14ac:dyDescent="0.25">
      <c r="A14" s="103"/>
      <c r="B14" s="18"/>
      <c r="C14" s="18"/>
      <c r="D14" s="23"/>
      <c r="E14" s="27"/>
      <c r="F14" s="27"/>
      <c r="G14" s="27"/>
      <c r="H14" s="18"/>
      <c r="I14" s="104"/>
      <c r="N14" s="61">
        <f t="shared" ref="N14:N21" si="3">+N13+0.0025</f>
        <v>2.2499999999999999E-2</v>
      </c>
      <c r="P14" s="69">
        <f t="shared" ref="P14" si="4">+P13+1</f>
        <v>12</v>
      </c>
      <c r="Q14" s="70" t="s">
        <v>30</v>
      </c>
    </row>
    <row r="15" spans="1:20" ht="15" customHeight="1" x14ac:dyDescent="0.2">
      <c r="A15" s="103"/>
      <c r="B15" s="150" t="s">
        <v>31</v>
      </c>
      <c r="C15" s="150"/>
      <c r="D15" s="150"/>
      <c r="E15" s="139"/>
      <c r="F15" s="28" t="str">
        <f>+IF(_xlfn.ISFORMULA(E15),"Basés sur l'information des salaires précédents.","")</f>
        <v/>
      </c>
      <c r="G15" s="27"/>
      <c r="H15" s="18"/>
      <c r="I15" s="104"/>
      <c r="N15" s="61">
        <f t="shared" si="3"/>
        <v>2.4999999999999998E-2</v>
      </c>
    </row>
    <row r="16" spans="1:20" ht="15" customHeight="1" x14ac:dyDescent="0.2">
      <c r="A16" s="103"/>
      <c r="B16" s="154" t="s">
        <v>32</v>
      </c>
      <c r="C16" s="154"/>
      <c r="D16" s="154"/>
      <c r="E16" s="154"/>
      <c r="F16" s="154"/>
      <c r="G16" s="154"/>
      <c r="H16" s="154"/>
      <c r="I16" s="104"/>
      <c r="N16" s="61">
        <f t="shared" si="3"/>
        <v>2.7499999999999997E-2</v>
      </c>
    </row>
    <row r="17" spans="1:14" ht="15" customHeight="1" x14ac:dyDescent="0.2">
      <c r="A17" s="103"/>
      <c r="B17" s="154"/>
      <c r="C17" s="154"/>
      <c r="D17" s="154"/>
      <c r="E17" s="154"/>
      <c r="F17" s="154"/>
      <c r="G17" s="154"/>
      <c r="H17" s="154"/>
      <c r="I17" s="104"/>
      <c r="N17" s="61">
        <f t="shared" si="3"/>
        <v>2.9999999999999995E-2</v>
      </c>
    </row>
    <row r="18" spans="1:14" ht="15" customHeight="1" x14ac:dyDescent="0.2">
      <c r="A18" s="103"/>
      <c r="B18" s="154" t="s">
        <v>33</v>
      </c>
      <c r="C18" s="154"/>
      <c r="D18" s="154"/>
      <c r="E18" s="154"/>
      <c r="F18" s="154"/>
      <c r="G18" s="154"/>
      <c r="H18" s="154"/>
      <c r="I18" s="104"/>
      <c r="N18" s="61">
        <f t="shared" si="3"/>
        <v>3.2499999999999994E-2</v>
      </c>
    </row>
    <row r="19" spans="1:14" ht="15" customHeight="1" x14ac:dyDescent="0.2">
      <c r="A19" s="103"/>
      <c r="B19" s="19"/>
      <c r="C19" s="18"/>
      <c r="D19" s="20"/>
      <c r="E19" s="27"/>
      <c r="F19" s="27"/>
      <c r="G19" s="27"/>
      <c r="H19" s="18"/>
      <c r="I19" s="104"/>
      <c r="N19" s="61">
        <f t="shared" si="3"/>
        <v>3.4999999999999996E-2</v>
      </c>
    </row>
    <row r="20" spans="1:14" ht="15" customHeight="1" x14ac:dyDescent="0.2">
      <c r="A20" s="103"/>
      <c r="B20" s="159" t="str">
        <f>"Nombre d'années de service créditées selon l'information du dernier relevé de l'Assomption Vie ("&amp;$C$9&amp;")"</f>
        <v>Nombre d'années de service créditées selon l'information du dernier relevé de l'Assomption Vie ()</v>
      </c>
      <c r="C20" s="159"/>
      <c r="D20" s="159"/>
      <c r="E20" s="159"/>
      <c r="F20" s="159"/>
      <c r="G20" s="159"/>
      <c r="H20" s="159"/>
      <c r="I20" s="104"/>
      <c r="N20" s="61">
        <f t="shared" si="3"/>
        <v>3.7499999999999999E-2</v>
      </c>
    </row>
    <row r="21" spans="1:14" ht="13.5" thickBot="1" x14ac:dyDescent="0.25">
      <c r="A21" s="103"/>
      <c r="B21" s="159"/>
      <c r="C21" s="159"/>
      <c r="D21" s="159"/>
      <c r="E21" s="159"/>
      <c r="F21" s="159"/>
      <c r="G21" s="159"/>
      <c r="H21" s="159"/>
      <c r="I21" s="104"/>
      <c r="N21" s="71">
        <f t="shared" si="3"/>
        <v>0.04</v>
      </c>
    </row>
    <row r="22" spans="1:14" ht="30" x14ac:dyDescent="0.25">
      <c r="A22" s="103"/>
      <c r="B22" s="124" t="s">
        <v>34</v>
      </c>
      <c r="C22" s="125" t="s">
        <v>35</v>
      </c>
      <c r="D22" s="124" t="s">
        <v>36</v>
      </c>
      <c r="E22" s="124" t="s">
        <v>37</v>
      </c>
      <c r="F22" s="126" t="s">
        <v>38</v>
      </c>
      <c r="G22" s="127" t="s">
        <v>39</v>
      </c>
      <c r="H22" s="128" t="s">
        <v>40</v>
      </c>
      <c r="I22" s="104"/>
    </row>
    <row r="23" spans="1:14" ht="15" x14ac:dyDescent="0.2">
      <c r="A23" s="103"/>
      <c r="B23" s="136"/>
      <c r="C23" s="137"/>
      <c r="D23" s="136"/>
      <c r="E23" s="136"/>
      <c r="F23" s="136"/>
      <c r="G23" s="138"/>
      <c r="H23" s="136"/>
      <c r="I23" s="104"/>
    </row>
    <row r="24" spans="1:14" ht="15.75" x14ac:dyDescent="0.25">
      <c r="A24" s="103"/>
      <c r="B24" s="24"/>
      <c r="C24" s="24"/>
      <c r="D24" s="72"/>
      <c r="E24" s="155" t="s">
        <v>41</v>
      </c>
      <c r="F24" s="155"/>
      <c r="G24" s="156"/>
      <c r="H24" s="142"/>
      <c r="I24" s="104"/>
    </row>
    <row r="25" spans="1:14" ht="14.25" x14ac:dyDescent="0.2">
      <c r="A25" s="103"/>
      <c r="B25" s="22"/>
      <c r="C25" s="22"/>
      <c r="D25" s="18"/>
      <c r="E25" s="23"/>
      <c r="F25" s="23"/>
      <c r="G25" s="23"/>
      <c r="H25" s="18"/>
      <c r="I25" s="104"/>
    </row>
    <row r="26" spans="1:14" ht="15" x14ac:dyDescent="0.25">
      <c r="A26" s="103"/>
      <c r="B26" s="22"/>
      <c r="C26" s="129" t="s">
        <v>42</v>
      </c>
      <c r="D26" s="129" t="s">
        <v>43</v>
      </c>
      <c r="E26" s="18"/>
      <c r="F26" s="18"/>
      <c r="G26" s="18"/>
      <c r="H26" s="18"/>
      <c r="I26" s="104"/>
    </row>
    <row r="27" spans="1:14" ht="15.75" x14ac:dyDescent="0.25">
      <c r="A27" s="103"/>
      <c r="B27" s="130" t="s">
        <v>44</v>
      </c>
      <c r="C27" s="133"/>
      <c r="D27" s="134"/>
      <c r="E27" s="22" t="s">
        <v>45</v>
      </c>
      <c r="F27" s="18"/>
      <c r="G27" s="18"/>
      <c r="H27" s="18"/>
      <c r="I27" s="104"/>
    </row>
    <row r="28" spans="1:14" ht="13.5" customHeight="1" x14ac:dyDescent="0.25">
      <c r="A28" s="103"/>
      <c r="B28" s="131" t="s">
        <v>46</v>
      </c>
      <c r="C28" s="133"/>
      <c r="D28" s="134"/>
      <c r="E28" s="18"/>
      <c r="F28" s="18"/>
      <c r="G28" s="18"/>
      <c r="H28" s="18"/>
      <c r="I28" s="104"/>
    </row>
    <row r="29" spans="1:14" ht="24" customHeight="1" x14ac:dyDescent="0.2">
      <c r="A29" s="103"/>
      <c r="B29" s="18"/>
      <c r="C29" s="18"/>
      <c r="D29" s="29"/>
      <c r="E29" s="30"/>
      <c r="F29" s="18"/>
      <c r="G29" s="18"/>
      <c r="H29" s="18"/>
      <c r="I29" s="104"/>
    </row>
    <row r="30" spans="1:14" ht="15" x14ac:dyDescent="0.25">
      <c r="A30" s="103"/>
      <c r="B30" s="158" t="s">
        <v>47</v>
      </c>
      <c r="C30" s="158"/>
      <c r="D30" s="158"/>
      <c r="E30" s="73" t="e">
        <f>Calculatrice!M20</f>
        <v>#VALUE!</v>
      </c>
      <c r="F30" s="18"/>
      <c r="G30" s="18"/>
      <c r="H30" s="18"/>
      <c r="I30" s="104"/>
    </row>
    <row r="31" spans="1:14" ht="27" customHeight="1" x14ac:dyDescent="0.2">
      <c r="A31" s="103"/>
      <c r="B31" s="152" t="s">
        <v>48</v>
      </c>
      <c r="C31" s="152"/>
      <c r="D31" s="152"/>
      <c r="E31" s="152"/>
      <c r="F31" s="74" t="e">
        <f>IF(MAX(ROUND((DATE(C27,D27,1)-DATE(C28,D28,1))/365.25*12,0),0)&gt;120,"Vous pouvez seulement vous retirer 10 ans avant votre date normale de retraite.",IF(MAX(ROUND((DATE(C27,D27,1)-DATE(C28,D28,1))/365.25*12,0),0)=0,0,ROUND((DATE(C27,D27,1)-DATE(C28,D28,1))/365.25*12,0)))</f>
        <v>#NUM!</v>
      </c>
      <c r="G31" s="18"/>
      <c r="H31" s="18"/>
      <c r="I31" s="104"/>
    </row>
    <row r="32" spans="1:14" ht="30" customHeight="1" x14ac:dyDescent="0.25">
      <c r="A32" s="103"/>
      <c r="B32" s="145" t="str">
        <f>IF(OR(AND(C28-C9&lt;4,$C$8&lt;2014),$J$2="Show"),"Attention","")</f>
        <v>Attention</v>
      </c>
      <c r="C32" s="145"/>
      <c r="D32" s="145"/>
      <c r="E32" s="145"/>
      <c r="F32" s="145"/>
      <c r="G32" s="145"/>
      <c r="H32" s="145"/>
      <c r="I32" s="104"/>
    </row>
    <row r="33" spans="1:9" ht="14.25" x14ac:dyDescent="0.2">
      <c r="A33" s="103"/>
      <c r="B33" s="144" t="str">
        <f>IF(B32="","","L'estimation basée pour le salaire final pourrait être différente que la réalité étant donné les hypothèses du salaire moyen des trois dernières années qui sont utilisées pour approximer le résultat.")</f>
        <v>L'estimation basée pour le salaire final pourrait être différente que la réalité étant donné les hypothèses du salaire moyen des trois dernières années qui sont utilisées pour approximer le résultat.</v>
      </c>
      <c r="C33" s="144"/>
      <c r="D33" s="144"/>
      <c r="E33" s="144"/>
      <c r="F33" s="144"/>
      <c r="G33" s="144"/>
      <c r="H33" s="144"/>
      <c r="I33" s="104"/>
    </row>
    <row r="34" spans="1:9" ht="16.5" customHeight="1" x14ac:dyDescent="0.2">
      <c r="A34" s="103"/>
      <c r="B34" s="18"/>
      <c r="C34" s="18"/>
      <c r="D34" s="18"/>
      <c r="E34" s="31"/>
      <c r="F34" s="18"/>
      <c r="G34" s="18"/>
      <c r="H34" s="18"/>
      <c r="I34" s="104"/>
    </row>
    <row r="35" spans="1:9" ht="15" customHeight="1" x14ac:dyDescent="0.2">
      <c r="A35" s="103"/>
      <c r="B35" s="151" t="s">
        <v>49</v>
      </c>
      <c r="C35" s="151"/>
      <c r="D35" s="149" t="e">
        <f>+E57</f>
        <v>#N/A</v>
      </c>
      <c r="E35" s="149"/>
      <c r="F35" s="149"/>
      <c r="G35" s="32"/>
      <c r="H35" s="18"/>
      <c r="I35" s="104"/>
    </row>
    <row r="36" spans="1:9" x14ac:dyDescent="0.2">
      <c r="A36" s="103"/>
      <c r="B36" s="151"/>
      <c r="C36" s="151"/>
      <c r="D36" s="149"/>
      <c r="E36" s="149"/>
      <c r="F36" s="149"/>
      <c r="G36" s="18"/>
      <c r="H36" s="18"/>
      <c r="I36" s="104"/>
    </row>
    <row r="37" spans="1:9" ht="28.5" customHeight="1" x14ac:dyDescent="0.25">
      <c r="A37" s="103"/>
      <c r="B37" s="96"/>
      <c r="C37" s="22"/>
      <c r="D37" s="22"/>
      <c r="E37" s="22"/>
      <c r="F37" s="22"/>
      <c r="G37" s="18"/>
      <c r="H37" s="18"/>
      <c r="I37" s="104"/>
    </row>
    <row r="38" spans="1:9" ht="15.75" x14ac:dyDescent="0.25">
      <c r="A38" s="103"/>
      <c r="B38" s="157" t="s">
        <v>50</v>
      </c>
      <c r="C38" s="157"/>
      <c r="D38" s="157"/>
      <c r="E38" s="157"/>
      <c r="F38" s="157"/>
      <c r="G38" s="18"/>
      <c r="H38" s="18"/>
      <c r="I38" s="104"/>
    </row>
    <row r="39" spans="1:9" ht="15" x14ac:dyDescent="0.25">
      <c r="A39" s="103"/>
      <c r="B39" s="99"/>
      <c r="C39" s="48"/>
      <c r="D39" s="49"/>
      <c r="E39" s="77"/>
      <c r="F39" s="49"/>
      <c r="G39" s="18"/>
      <c r="H39" s="18"/>
      <c r="I39" s="104"/>
    </row>
    <row r="40" spans="1:9" ht="15" x14ac:dyDescent="0.25">
      <c r="A40" s="103"/>
      <c r="B40" s="34" t="e">
        <f>"Prestation annuelle le "&amp;E57&amp;" avant réduction"</f>
        <v>#N/A</v>
      </c>
      <c r="C40" s="10"/>
      <c r="D40" s="51"/>
      <c r="E40" s="111" t="e">
        <f>E65</f>
        <v>#VALUE!</v>
      </c>
      <c r="F40" s="100"/>
      <c r="G40" s="18"/>
      <c r="H40" s="18"/>
      <c r="I40" s="104"/>
    </row>
    <row r="41" spans="1:9" ht="14.25" x14ac:dyDescent="0.2">
      <c r="A41" s="103"/>
      <c r="B41" s="35" t="s">
        <v>51</v>
      </c>
      <c r="C41" s="33"/>
      <c r="D41" s="100"/>
      <c r="E41" s="81" t="e">
        <f>+F31*0.003</f>
        <v>#NUM!</v>
      </c>
      <c r="F41" s="100"/>
      <c r="G41" s="18"/>
      <c r="H41" s="18"/>
      <c r="I41" s="104"/>
    </row>
    <row r="42" spans="1:9" ht="15" x14ac:dyDescent="0.25">
      <c r="A42" s="103"/>
      <c r="B42" s="34" t="s">
        <v>52</v>
      </c>
      <c r="C42" s="33"/>
      <c r="D42" s="100"/>
      <c r="E42" s="112" t="e">
        <f>E40*E41</f>
        <v>#VALUE!</v>
      </c>
      <c r="F42" s="100"/>
      <c r="G42" s="18"/>
      <c r="H42" s="18"/>
      <c r="I42" s="104"/>
    </row>
    <row r="43" spans="1:9" ht="14.25" x14ac:dyDescent="0.2">
      <c r="A43" s="103"/>
      <c r="B43" s="35"/>
      <c r="C43" s="33"/>
      <c r="D43" s="100"/>
      <c r="E43" s="80"/>
      <c r="F43" s="50"/>
      <c r="G43" s="18"/>
      <c r="H43" s="18"/>
      <c r="I43" s="104"/>
    </row>
    <row r="44" spans="1:9" ht="14.25" x14ac:dyDescent="0.2">
      <c r="A44" s="103"/>
      <c r="B44" s="36" t="s">
        <v>53</v>
      </c>
      <c r="C44" s="10"/>
      <c r="D44" s="50"/>
      <c r="E44" s="85">
        <f>B23+C23+F23+G23+E23+D23</f>
        <v>0</v>
      </c>
      <c r="F44" s="50"/>
      <c r="G44" s="18"/>
      <c r="H44" s="18"/>
      <c r="I44" s="104"/>
    </row>
    <row r="45" spans="1:9" ht="27" customHeight="1" x14ac:dyDescent="0.25">
      <c r="A45" s="103"/>
      <c r="B45" s="52" t="s">
        <v>54</v>
      </c>
      <c r="C45" s="101"/>
      <c r="D45" s="102"/>
      <c r="E45" s="113" t="e">
        <f>MIN(E30,85750)</f>
        <v>#VALUE!</v>
      </c>
      <c r="F45" s="102"/>
      <c r="G45" s="18"/>
      <c r="H45" s="18"/>
      <c r="I45" s="104"/>
    </row>
    <row r="46" spans="1:9" ht="15" x14ac:dyDescent="0.25">
      <c r="A46" s="103"/>
      <c r="B46" s="41" t="s">
        <v>55</v>
      </c>
      <c r="C46" s="42"/>
      <c r="D46" s="42"/>
      <c r="E46" s="75"/>
      <c r="F46" s="76" t="e">
        <f>+E40-E42</f>
        <v>#VALUE!</v>
      </c>
      <c r="G46" s="18"/>
      <c r="H46" s="18"/>
      <c r="I46" s="104"/>
    </row>
    <row r="47" spans="1:9" ht="28.5" customHeight="1" x14ac:dyDescent="0.25">
      <c r="A47" s="103"/>
      <c r="B47" s="97"/>
      <c r="C47" s="38"/>
      <c r="D47" s="38"/>
      <c r="E47" s="39"/>
      <c r="F47" s="22"/>
      <c r="G47" s="18"/>
      <c r="H47" s="18"/>
      <c r="I47" s="104"/>
    </row>
    <row r="48" spans="1:9" ht="18.75" x14ac:dyDescent="0.25">
      <c r="A48" s="103"/>
      <c r="B48" s="43" t="s">
        <v>56</v>
      </c>
      <c r="C48" s="44"/>
      <c r="D48" s="44"/>
      <c r="E48" s="45"/>
      <c r="F48" s="46"/>
      <c r="G48" s="18"/>
      <c r="H48" s="18"/>
      <c r="I48" s="104"/>
    </row>
    <row r="49" spans="1:9" ht="14.25" x14ac:dyDescent="0.2">
      <c r="A49" s="103"/>
      <c r="B49" s="47"/>
      <c r="C49" s="48"/>
      <c r="D49" s="49"/>
      <c r="E49" s="77"/>
      <c r="F49" s="78"/>
      <c r="G49" s="18"/>
      <c r="H49" s="18"/>
      <c r="I49" s="104"/>
    </row>
    <row r="50" spans="1:9" ht="15" x14ac:dyDescent="0.25">
      <c r="A50" s="103"/>
      <c r="B50" s="40" t="e">
        <f>+B40</f>
        <v>#N/A</v>
      </c>
      <c r="C50" s="10"/>
      <c r="D50" s="50"/>
      <c r="E50" s="79">
        <f>E66</f>
        <v>0</v>
      </c>
      <c r="F50" s="80"/>
      <c r="G50" s="18"/>
      <c r="H50" s="18"/>
      <c r="I50" s="104"/>
    </row>
    <row r="51" spans="1:9" ht="14.25" x14ac:dyDescent="0.2">
      <c r="A51" s="103"/>
      <c r="B51" s="35" t="s">
        <v>57</v>
      </c>
      <c r="C51" s="10"/>
      <c r="D51" s="51"/>
      <c r="E51" s="81" t="e">
        <f>+E41</f>
        <v>#NUM!</v>
      </c>
      <c r="F51" s="80"/>
      <c r="G51" s="18"/>
      <c r="H51" s="18"/>
      <c r="I51" s="104"/>
    </row>
    <row r="52" spans="1:9" ht="15" x14ac:dyDescent="0.25">
      <c r="A52" s="103"/>
      <c r="B52" s="34" t="s">
        <v>52</v>
      </c>
      <c r="C52" s="10"/>
      <c r="D52" s="51"/>
      <c r="E52" s="82" t="e">
        <f>E50*E51</f>
        <v>#NUM!</v>
      </c>
      <c r="F52" s="80"/>
      <c r="G52" s="18"/>
      <c r="H52" s="18"/>
      <c r="I52" s="104"/>
    </row>
    <row r="53" spans="1:9" ht="15" x14ac:dyDescent="0.25">
      <c r="A53" s="103"/>
      <c r="B53" s="37"/>
      <c r="C53" s="10"/>
      <c r="D53" s="51"/>
      <c r="E53" s="83"/>
      <c r="F53" s="84"/>
      <c r="G53" s="18"/>
      <c r="H53" s="98"/>
      <c r="I53" s="104"/>
    </row>
    <row r="54" spans="1:9" ht="14.25" x14ac:dyDescent="0.2">
      <c r="A54" s="103"/>
      <c r="B54" s="35" t="s">
        <v>58</v>
      </c>
      <c r="C54" s="10"/>
      <c r="D54" s="51"/>
      <c r="E54" s="85">
        <f>ROUND(SUM(Calculatrice!D7:D55)+H23,2)</f>
        <v>0</v>
      </c>
      <c r="F54" s="84"/>
      <c r="G54" s="18"/>
      <c r="H54" s="18"/>
      <c r="I54" s="104"/>
    </row>
    <row r="55" spans="1:9" ht="23.25" customHeight="1" x14ac:dyDescent="0.25">
      <c r="A55" s="103"/>
      <c r="B55" s="52" t="str">
        <f>"Salaire moyen après "&amp;C9</f>
        <v xml:space="preserve">Salaire moyen après </v>
      </c>
      <c r="C55" s="53"/>
      <c r="D55" s="54"/>
      <c r="E55" s="110" t="e">
        <f>SUMIFS(Calculatrice!$C$4:$C$55,Calculatrice!$A$4:$A$55,"&gt;"&amp;$C$9)/SUMIFS(Calculatrice!D4:D55,Calculatrice!$A$4:$A$55,"&gt;"&amp;$C$9)</f>
        <v>#DIV/0!</v>
      </c>
      <c r="F55" s="86"/>
      <c r="G55" s="18"/>
      <c r="H55" s="29"/>
      <c r="I55" s="104"/>
    </row>
    <row r="56" spans="1:9" ht="29.25" customHeight="1" x14ac:dyDescent="0.25">
      <c r="A56" s="103"/>
      <c r="B56" s="41" t="s">
        <v>59</v>
      </c>
      <c r="C56" s="55"/>
      <c r="D56" s="55"/>
      <c r="E56" s="87"/>
      <c r="F56" s="76" t="e">
        <f>+E50-E52</f>
        <v>#NUM!</v>
      </c>
      <c r="G56" s="18"/>
      <c r="H56" s="29"/>
      <c r="I56" s="104"/>
    </row>
    <row r="57" spans="1:9" ht="18" x14ac:dyDescent="0.25">
      <c r="A57" s="103"/>
      <c r="B57" s="56" t="s">
        <v>60</v>
      </c>
      <c r="C57" s="57"/>
      <c r="D57" s="88"/>
      <c r="E57" s="89" t="e">
        <f>"1 "&amp;VLOOKUP($D$28,$P$3:$Q$14,2,0)&amp;" "&amp;$C$28</f>
        <v>#N/A</v>
      </c>
      <c r="F57" s="90" t="e">
        <f>+F56+F46</f>
        <v>#NUM!</v>
      </c>
      <c r="G57" s="18"/>
      <c r="H57" s="18"/>
      <c r="I57" s="104"/>
    </row>
    <row r="58" spans="1:9" ht="18" x14ac:dyDescent="0.25">
      <c r="A58" s="103"/>
      <c r="B58" s="91" t="s">
        <v>61</v>
      </c>
      <c r="C58" s="92"/>
      <c r="D58" s="92"/>
      <c r="E58" s="93" t="e">
        <f>+E52+E42</f>
        <v>#NUM!</v>
      </c>
      <c r="F58" s="94"/>
      <c r="G58" s="18"/>
      <c r="H58" s="18"/>
      <c r="I58" s="104"/>
    </row>
    <row r="59" spans="1:9" ht="20.25" customHeight="1" x14ac:dyDescent="0.2">
      <c r="A59" s="103"/>
      <c r="B59" s="18"/>
      <c r="C59" s="18"/>
      <c r="D59" s="18"/>
      <c r="E59" s="18"/>
      <c r="F59" s="18"/>
      <c r="G59" s="18"/>
      <c r="H59" s="18"/>
      <c r="I59" s="104"/>
    </row>
    <row r="60" spans="1:9" s="95" customFormat="1" ht="15" x14ac:dyDescent="0.25">
      <c r="A60" s="103"/>
      <c r="B60" s="96" t="s">
        <v>62</v>
      </c>
      <c r="C60" s="22"/>
      <c r="D60" s="22"/>
      <c r="E60" s="22"/>
      <c r="F60" s="22"/>
      <c r="G60" s="22"/>
      <c r="H60" s="18"/>
      <c r="I60" s="104"/>
    </row>
    <row r="61" spans="1:9" ht="91.5" customHeight="1" thickBot="1" x14ac:dyDescent="0.25">
      <c r="A61" s="105"/>
      <c r="B61" s="143" t="s">
        <v>63</v>
      </c>
      <c r="C61" s="143"/>
      <c r="D61" s="143"/>
      <c r="E61" s="143"/>
      <c r="F61" s="143"/>
      <c r="G61" s="143"/>
      <c r="H61" s="143"/>
      <c r="I61" s="106"/>
    </row>
    <row r="64" spans="1:9" x14ac:dyDescent="0.2">
      <c r="D64" s="2"/>
      <c r="E64" s="6"/>
    </row>
    <row r="65" spans="2:5" x14ac:dyDescent="0.2">
      <c r="B65" s="5" t="s">
        <v>64</v>
      </c>
      <c r="D65" s="2"/>
      <c r="E65" s="2" t="e">
        <f>((MIN(E30,85750)*(D23+E23+G23)+MIN(E30,57500)*F23)*2%+(B23+C23)*MIN(E30,111364)*1.54%)</f>
        <v>#VALUE!</v>
      </c>
    </row>
    <row r="66" spans="2:5" ht="13.5" thickBot="1" x14ac:dyDescent="0.25">
      <c r="B66" s="5" t="s">
        <v>65</v>
      </c>
      <c r="D66" s="2"/>
      <c r="E66" s="2">
        <f>(SUMIFS(Calculatrice!$C$4:$C$55,Calculatrice!$A$4:$A$55,"&gt;"&amp;$C$9)*2%+$H$24)</f>
        <v>0</v>
      </c>
    </row>
    <row r="67" spans="2:5" ht="13.5" thickBot="1" x14ac:dyDescent="0.25">
      <c r="B67" s="7" t="s">
        <v>66</v>
      </c>
      <c r="C67" s="8"/>
      <c r="D67" s="9"/>
      <c r="E67" s="6"/>
    </row>
  </sheetData>
  <sheetProtection algorithmName="SHA-512" hashValue="PW1mE4xFkS6B/BKSx+e+ahUYWTB9SZxvCZGL2xKGLStbfzVIolYg6G9CocVsH4525daeHRapsuWFqtsLg7tolQ==" saltValue="aUE3eUGXJIrNlE8u8NkaZA==" spinCount="100000" sheet="1" objects="1" scenarios="1"/>
  <protectedRanges>
    <protectedRange sqref="C8:D8 C10 D10:E10 E12:E13 E15 H23:H24 B23:G23 C27:D28" name="Range1"/>
    <protectedRange sqref="C5" name="Range1_1"/>
    <protectedRange sqref="C9" name="Range1_3"/>
  </protectedRanges>
  <mergeCells count="16">
    <mergeCell ref="B61:H61"/>
    <mergeCell ref="B33:H33"/>
    <mergeCell ref="B32:H32"/>
    <mergeCell ref="B12:D12"/>
    <mergeCell ref="C5:E5"/>
    <mergeCell ref="D35:F36"/>
    <mergeCell ref="B15:D15"/>
    <mergeCell ref="B35:C36"/>
    <mergeCell ref="B31:E31"/>
    <mergeCell ref="B13:D13"/>
    <mergeCell ref="B16:H17"/>
    <mergeCell ref="E24:G24"/>
    <mergeCell ref="B18:H18"/>
    <mergeCell ref="B38:F38"/>
    <mergeCell ref="B30:D30"/>
    <mergeCell ref="B20:H21"/>
  </mergeCells>
  <phoneticPr fontId="2" type="noConversion"/>
  <conditionalFormatting sqref="B22:B23">
    <cfRule type="expression" dxfId="11" priority="2">
      <formula>AND($J$2&lt;&gt;"Show",$C$8&gt;=1992)</formula>
    </cfRule>
  </conditionalFormatting>
  <conditionalFormatting sqref="B38:F46">
    <cfRule type="expression" dxfId="10" priority="3">
      <formula>AND(OR($C$8="",$C$8=0,$C$8&gt;2014),$J$2&lt;&gt;"Show")</formula>
    </cfRule>
  </conditionalFormatting>
  <conditionalFormatting sqref="B20:H61">
    <cfRule type="expression" dxfId="9" priority="1" stopIfTrue="1">
      <formula>AND(OR($C$8="",$C$8=0),$J$2&lt;&gt;"Show")</formula>
    </cfRule>
  </conditionalFormatting>
  <conditionalFormatting sqref="B30:H31">
    <cfRule type="expression" dxfId="8" priority="22">
      <formula>AND($C$8&gt;=2014,$J$2&lt;&gt;"Show")</formula>
    </cfRule>
  </conditionalFormatting>
  <conditionalFormatting sqref="C22:C23">
    <cfRule type="expression" dxfId="7" priority="7">
      <formula>AND($J$2&lt;&gt;"Show",$C$8&gt;=2014)</formula>
    </cfRule>
  </conditionalFormatting>
  <conditionalFormatting sqref="D22:D23">
    <cfRule type="expression" dxfId="6" priority="4">
      <formula>AND($J$2&lt;&gt;"Show",$C$8&gt;=1992)</formula>
    </cfRule>
  </conditionalFormatting>
  <conditionalFormatting sqref="E22">
    <cfRule type="expression" dxfId="5" priority="8">
      <formula>AND($J$2&lt;&gt;"Show",$C$8&gt;=2014)</formula>
    </cfRule>
  </conditionalFormatting>
  <conditionalFormatting sqref="E23">
    <cfRule type="expression" dxfId="4" priority="9">
      <formula>AND($J$2&lt;&gt;"Show",$C$8&gt;=2014)</formula>
    </cfRule>
  </conditionalFormatting>
  <conditionalFormatting sqref="F22">
    <cfRule type="expression" dxfId="3" priority="5">
      <formula>AND($J$2&lt;&gt;"Show",$C$8&gt;=1992)</formula>
    </cfRule>
  </conditionalFormatting>
  <conditionalFormatting sqref="F23">
    <cfRule type="expression" dxfId="2" priority="6">
      <formula>AND($J$2&lt;&gt;"Show",$C$8&gt;=1992)</formula>
    </cfRule>
  </conditionalFormatting>
  <conditionalFormatting sqref="G22">
    <cfRule type="expression" dxfId="1" priority="10">
      <formula>AND($J$2&lt;&gt;"Show",$C$8&gt;=2014)</formula>
    </cfRule>
  </conditionalFormatting>
  <conditionalFormatting sqref="G23">
    <cfRule type="expression" dxfId="0" priority="14">
      <formula>AND($J$2&lt;&gt;"Show",$C$8&gt;=2014)</formula>
    </cfRule>
  </conditionalFormatting>
  <dataValidations xWindow="443" yWindow="362" count="22">
    <dataValidation type="whole" operator="greaterThan" allowBlank="1" showInputMessage="1" showErrorMessage="1" prompt="Veuillez entrer l'année en format (YYYY) :_x000a_Voir la page 3 de votre relevé dans la section_x000a_« RENSEIGNEMENTS PERSONNELS »" sqref="C27" xr:uid="{00000000-0002-0000-0000-000001000000}">
      <formula1>2026</formula1>
    </dataValidation>
    <dataValidation type="whole" allowBlank="1" showInputMessage="1" showErrorMessage="1" prompt="Veuillez entrer le mois en format (MM) :_x000a_Voir la page 3 de votre relevé dans la section_x000a_« RENSEIGNEMENTS PERSONNELS »" sqref="D27" xr:uid="{00000000-0002-0000-0000-000002000000}">
      <formula1>1</formula1>
      <formula2>12</formula2>
    </dataValidation>
    <dataValidation type="whole" allowBlank="1" showInputMessage="1" showErrorMessage="1" error="Note: Fonctionne pour les dates de retraite prévue 2014 et après." prompt="Veuillez entrer le mois de la date que vous aimeriez prendre votre retraite._x000a_Si inconnu, entrez le mois de la date normale de retraite de la cellule précédente." sqref="D28" xr:uid="{00000000-0002-0000-0000-000003000000}">
      <formula1>1</formula1>
      <formula2>12</formula2>
    </dataValidation>
    <dataValidation type="whole" operator="greaterThan" allowBlank="1" showInputMessage="1" showErrorMessage="1" error="Note: Fonctionne pour les dates de retraite prévue 2014 et après." prompt="Veuillez entrer l'année de la date que vous aimeriez prendre votre retraite._x000a_Si inconnu, entrez l'année de la date normale de retraite de la cellule précédente." sqref="C28" xr:uid="{00000000-0002-0000-0000-000004000000}">
      <formula1>2026</formula1>
    </dataValidation>
    <dataValidation type="decimal" allowBlank="1" showInputMessage="1" showErrorMessage="1" prompt="Cette information se retrouve sur le relevé de l'Assomption Vie._x000a_Ne pas oubliez le service pour l'année en cours._x000a_" sqref="H24" xr:uid="{00000000-0002-0000-0000-000005000000}">
      <formula1>0</formula1>
      <formula2>999999</formula2>
    </dataValidation>
    <dataValidation type="decimal" allowBlank="1" showInputMessage="1" showErrorMessage="1" prompt="Voir la page 2 de votre relevé dans la section « sommaire de votre pension accumulée »_x000a_Entrez le nombre d'années" sqref="B23:H23" xr:uid="{00000000-0002-0000-0000-000006000000}">
      <formula1>0</formula1>
      <formula2>40</formula2>
    </dataValidation>
    <dataValidation type="decimal" allowBlank="1" showInputMessage="1" showErrorMessage="1" promptTitle="Entrez votre salaire moyen" prompt="Voir page 2 du relevé annuel dans la section_x000a_« Sommaire de votre pension accumulée »" sqref="E12" xr:uid="{00000000-0002-0000-0000-000009000000}">
      <formula1>0</formula1>
      <formula2>999999</formula2>
    </dataValidation>
    <dataValidation type="decimal" allowBlank="1" showInputMessage="1" showErrorMessage="1" promptTitle="Entrez votre salaire annuel actu" prompt="Veuillez entrer votre salaire annuel régulier plus les primes administratives.  Les surcharges ne doivent pas être incluses dans le calcul." sqref="E13" xr:uid="{00000000-0002-0000-0000-00000A000000}">
      <formula1>0</formula1>
      <formula2>999999</formula2>
    </dataValidation>
    <dataValidation type="whole" allowBlank="1" showInputMessage="1" showErrorMessage="1" prompt="Veuillez entrer le mois :  (MM)_x000a_Voir la page 3 de votre relevé dans la section « Renseignements personnels » " sqref="D8" xr:uid="{00000000-0002-0000-0000-00000B000000}">
      <formula1>1</formula1>
      <formula2>12</formula2>
    </dataValidation>
    <dataValidation type="whole" allowBlank="1" showInputMessage="1" showErrorMessage="1" prompt="Veuillez entrer l'année : (AAAA)" sqref="C10" xr:uid="{00000000-0002-0000-0000-00000C000000}">
      <formula1>YEAR(NOW())-1</formula1>
      <formula2>YEAR(NOW())+1</formula2>
    </dataValidation>
    <dataValidation type="whole" allowBlank="1" showInputMessage="1" showErrorMessage="1" prompt="Veuillez entrer la journée en format (JJ)" sqref="E10" xr:uid="{00000000-0002-0000-0000-00000D000000}">
      <formula1>1</formula1>
      <formula2>31</formula2>
    </dataValidation>
    <dataValidation type="list" allowBlank="1" showInputMessage="1" showErrorMessage="1" sqref="J2" xr:uid="{00000000-0002-0000-0000-00000E000000}">
      <formula1>"Show,Hide"</formula1>
    </dataValidation>
    <dataValidation type="list" allowBlank="1" showInputMessage="1" showErrorMessage="1" prompt="Veuillez entrer un pourcentage possible d'augmentation de salaire. L'augmentation est sur une base annuelle donc il faut ajuster s'il y en a deux. Si vous pensez que votre salaire n'augmentera plus au cours des prochaines années, laissez à 0%." sqref="E15" xr:uid="{00000000-0002-0000-0000-00000F000000}">
      <formula1>$N$3:$N$21</formula1>
    </dataValidation>
    <dataValidation allowBlank="1" showInputMessage="1" showErrorMessage="1" prompt="Vous devez compléter tous les champs en bleu._x000a__x000a_Il vous faudra votre dernier relevé de l'Assomption ainsi que le montant de votre salaire de base des trois dernières années." sqref="B2:B3" xr:uid="{00000000-0002-0000-0000-000010000000}"/>
    <dataValidation type="whole" allowBlank="1" showInputMessage="1" showErrorMessage="1" prompt="Veuillez entrer l'année : (AAAA)_x000a_Voir la page 3 de votre relevé dans la section « Renseignements personnels » " sqref="C8" xr:uid="{D58654B1-31D6-41DF-9B12-8BFCFAE17770}">
      <formula1>1940</formula1>
      <formula2>2100</formula2>
    </dataValidation>
    <dataValidation type="whole" allowBlank="1" showInputMessage="1" showErrorMessage="1" prompt="Doit toujours être le premier du mois." sqref="E8" xr:uid="{2F1D5D00-D24C-409B-9881-1AD94AB3CF43}">
      <formula1>1</formula1>
      <formula2>1</formula2>
    </dataValidation>
    <dataValidation type="whole" allowBlank="1" showInputMessage="1" showErrorMessage="1" prompt="Doit toujours être le premier du mois." sqref="D9" xr:uid="{1F9F3031-5D24-43FB-A36A-99F170885FCB}">
      <formula1>12</formula1>
      <formula2>12</formula2>
    </dataValidation>
    <dataValidation type="whole" allowBlank="1" showInputMessage="1" showErrorMessage="1" prompt="Doit toujours être le premier du mois." sqref="E9" xr:uid="{DC7FF6A9-014B-497C-9B18-4044B2BA1282}">
      <formula1>31</formula1>
      <formula2>31</formula2>
    </dataValidation>
    <dataValidation type="whole" allowBlank="1" showInputMessage="1" showErrorMessage="1" prompt="Veuillez entrer le mois (MM)" sqref="D10" xr:uid="{C7191633-5AC7-4FA4-BC04-A0D8B53C7BCF}">
      <formula1>1</formula1>
      <formula2>12</formula2>
    </dataValidation>
    <dataValidation allowBlank="1" showInputMessage="1" showErrorMessage="1" prompt="Veuillez entrer votre nom" sqref="C5:E5" xr:uid="{1721C99A-056D-4606-A3CF-87D85C217066}"/>
    <dataValidation type="whole" allowBlank="1" showInputMessage="1" showErrorMessage="1" prompt="Veuillez entrer l'année : (AAAA)_x000a_Voir en haut à droite de la première page de votre relevé. _x000a_« RELEVÉ ANNUEL AU 31 DÉCEMBRE AAAA »" sqref="C9" xr:uid="{0BAC9A41-0445-4DD8-8030-CB62DB82EEAE}">
      <formula1>1940</formula1>
      <formula2>2100</formula2>
    </dataValidation>
    <dataValidation allowBlank="1" showInputMessage="1" showErrorMessage="1" prompt="Vous devez compléter tous les champs en bleu._x000a__x000a_Il vous faudra votre dernier relevé de l'Assomption ainsi que votre salaire de base le plus récent." sqref="A1" xr:uid="{6156D108-1795-4DF5-A306-96432A0DDB7F}"/>
  </dataValidations>
  <printOptions horizontalCentered="1"/>
  <pageMargins left="0.75" right="0.75" top="1" bottom="1" header="0.5" footer="0.5"/>
  <pageSetup scale="57" orientation="portrait" r:id="rId1"/>
  <headerFooter alignWithMargins="0">
    <oddFooter>&amp;L&amp;D&amp;R&amp;Z&amp;F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O55"/>
  <sheetViews>
    <sheetView topLeftCell="F1" workbookViewId="0">
      <selection activeCell="H1" sqref="H1"/>
    </sheetView>
  </sheetViews>
  <sheetFormatPr defaultColWidth="11.42578125" defaultRowHeight="12.75" x14ac:dyDescent="0.2"/>
  <cols>
    <col min="1" max="1" width="12.7109375" customWidth="1"/>
    <col min="2" max="2" width="15.42578125" customWidth="1"/>
    <col min="3" max="3" width="18.28515625" bestFit="1" customWidth="1"/>
    <col min="4" max="4" width="23.85546875" customWidth="1"/>
    <col min="5" max="5" width="11.42578125" customWidth="1"/>
    <col min="6" max="6" width="28.7109375" customWidth="1"/>
    <col min="7" max="7" width="11.7109375" bestFit="1" customWidth="1"/>
    <col min="9" max="9" width="17" customWidth="1"/>
    <col min="10" max="10" width="12.85546875" customWidth="1"/>
    <col min="13" max="13" width="14.85546875" bestFit="1" customWidth="1"/>
    <col min="14" max="14" width="12" bestFit="1" customWidth="1"/>
    <col min="15" max="15" width="12.140625" bestFit="1" customWidth="1"/>
    <col min="16" max="16" width="15.42578125" customWidth="1"/>
  </cols>
  <sheetData>
    <row r="2" spans="1:15" x14ac:dyDescent="0.2">
      <c r="E2" s="1">
        <f>MIN(2%,Data!E15)</f>
        <v>0.02</v>
      </c>
    </row>
    <row r="3" spans="1:15" x14ac:dyDescent="0.2">
      <c r="A3" t="s">
        <v>7</v>
      </c>
      <c r="B3" t="s">
        <v>67</v>
      </c>
      <c r="C3" t="s">
        <v>68</v>
      </c>
      <c r="D3" s="5" t="s">
        <v>69</v>
      </c>
      <c r="E3" s="5" t="s">
        <v>70</v>
      </c>
      <c r="F3" s="5" t="s">
        <v>71</v>
      </c>
      <c r="H3" s="12" t="s">
        <v>72</v>
      </c>
    </row>
    <row r="4" spans="1:15" x14ac:dyDescent="0.2">
      <c r="A4" s="15">
        <f>+MAX(tablemax[Année])-3</f>
        <v>2023</v>
      </c>
      <c r="B4" s="2" t="e">
        <f>IFERROR(+VLOOKUP(A4,$L$7:$M$11,2,0),B3*(1+Data!$E$15))</f>
        <v>#VALUE!</v>
      </c>
      <c r="C4" s="2">
        <f>ROUND(IF(A4&lt;Data!$C$28,MIN(B4,E4),IF(A4=Data!$C$28,MIN(B4,E4)*(Data!$D$28-1)/12,0)),2)</f>
        <v>0</v>
      </c>
      <c r="D4" s="3">
        <f>ROUND(IF(A4&lt;Data!$C$28,1,IF(A4=Data!$C$28,(Data!$D$28-1)/12,0)),8)</f>
        <v>0</v>
      </c>
      <c r="E4" s="107">
        <f>+VLOOKUP(A4,tablemax[],3,FALSE)</f>
        <v>175333.8</v>
      </c>
      <c r="F4" s="4" t="e">
        <f t="shared" ref="F4:F6" si="0">ROUND(IF(OR(A4&gt;YEAR($M$18),A4&lt;YEAR($M$17)),0,YEARFRAC(MAX(DATE(A4,1,1),$M$17),MIN(DATE(A4,12,31),$M$18),0)),8)</f>
        <v>#NUM!</v>
      </c>
    </row>
    <row r="5" spans="1:15" x14ac:dyDescent="0.2">
      <c r="A5">
        <f>+A4+1</f>
        <v>2024</v>
      </c>
      <c r="B5" s="2" t="e">
        <f>IFERROR(+VLOOKUP(A5,$L$7:$M$11,2,0),B4*(1+Data!$E$15))</f>
        <v>#VALUE!</v>
      </c>
      <c r="C5" s="2">
        <f>ROUND(IF(A5&lt;Data!$C$28,MIN(B5,E5),IF(A5=Data!$C$28,MIN(B5,E5)*(Data!$D$28-1)/12,0)),2)</f>
        <v>0</v>
      </c>
      <c r="D5" s="3">
        <f>ROUND(IF(A5&lt;Data!$C$28,1,IF(A5=Data!$C$28,(Data!$D$28-1)/12,0)),8)</f>
        <v>0</v>
      </c>
      <c r="E5" s="107">
        <f>+VLOOKUP(A5,tablemax[],3,FALSE)</f>
        <v>180500</v>
      </c>
      <c r="F5" s="4" t="e">
        <f t="shared" si="0"/>
        <v>#NUM!</v>
      </c>
      <c r="H5" t="s">
        <v>7</v>
      </c>
      <c r="I5" t="s">
        <v>73</v>
      </c>
      <c r="J5" t="s">
        <v>74</v>
      </c>
    </row>
    <row r="6" spans="1:15" ht="15" x14ac:dyDescent="0.25">
      <c r="A6">
        <f t="shared" ref="A6:A55" si="1">+A5+1</f>
        <v>2025</v>
      </c>
      <c r="B6" s="2" t="e">
        <f>IFERROR(+VLOOKUP(A6,$L$7:$M$11,2,0),B5*(1+Data!$E$15))</f>
        <v>#VALUE!</v>
      </c>
      <c r="C6" s="2">
        <f>ROUND(IF(A6&lt;Data!$C$28,MIN(B6,E6),IF(A6=Data!$C$28,MIN(B6,E6)*(Data!$D$28-1)/12,0)),2)</f>
        <v>0</v>
      </c>
      <c r="D6" s="3">
        <f>ROUND(IF(A6&lt;Data!$C$28,1,IF(A6=Data!$C$28,(Data!$D$28-1)/12,0)),8)</f>
        <v>0</v>
      </c>
      <c r="E6" s="107">
        <f>+VLOOKUP(A6,tablemax[],3,FALSE)</f>
        <v>187833.5</v>
      </c>
      <c r="F6" s="4" t="e">
        <f t="shared" si="0"/>
        <v>#NUM!</v>
      </c>
      <c r="H6" s="13">
        <v>1990</v>
      </c>
      <c r="I6" s="14">
        <v>1722.22</v>
      </c>
      <c r="J6" s="14">
        <f>+tablemax[[#This Row],[Plafond des PD]]/0.02</f>
        <v>86111</v>
      </c>
      <c r="L6" s="16" t="s">
        <v>7</v>
      </c>
      <c r="M6" s="16" t="s">
        <v>8</v>
      </c>
    </row>
    <row r="7" spans="1:15" ht="15" x14ac:dyDescent="0.2">
      <c r="A7">
        <f t="shared" si="1"/>
        <v>2026</v>
      </c>
      <c r="B7" s="2" t="e">
        <f>IFERROR(+VLOOKUP(A7,$L$7:$M$11,2,0),B6*(1+Data!$E$15))</f>
        <v>#VALUE!</v>
      </c>
      <c r="C7" s="2">
        <f>ROUND(IF(A7&lt;Data!$C$28,MIN(B7,E7),IF(A7=Data!$C$28,MIN(B7,E7)*(Data!$D$28-1)/12,0)),2)</f>
        <v>0</v>
      </c>
      <c r="D7" s="3">
        <f>ROUND(IF(A7&lt;Data!$C$28,1,IF(A7=Data!$C$28,(Data!$D$28-1)/12,0)),8)</f>
        <v>0</v>
      </c>
      <c r="E7" s="107">
        <f>+VLOOKUP(A7,tablemax[],3,FALSE)</f>
        <v>196611</v>
      </c>
      <c r="F7" s="4" t="e">
        <f>ROUND(IF(OR(A7&gt;YEAR($M$18),A7&lt;YEAR($M$17)),0,YEARFRAC(MAX(DATE(A7,1,1),$M$17),MIN(DATE(A7,12,31),$M$18),0)),8)</f>
        <v>#NUM!</v>
      </c>
      <c r="H7" s="13">
        <v>1991</v>
      </c>
      <c r="I7" s="14">
        <v>1722.22</v>
      </c>
      <c r="J7" s="14">
        <f>+tablemax[[#This Row],[Plafond des PD]]/0.02</f>
        <v>86111</v>
      </c>
      <c r="L7" s="17">
        <f>+L8-1</f>
        <v>-4</v>
      </c>
      <c r="M7" s="21" t="e">
        <f>+IF(L7=Data!$S$3,Data!$T$3,M8/(1+Data!$T$5))</f>
        <v>#DIV/0!</v>
      </c>
    </row>
    <row r="8" spans="1:15" ht="15" x14ac:dyDescent="0.2">
      <c r="A8">
        <f>+A7+1</f>
        <v>2027</v>
      </c>
      <c r="B8" s="2" t="e">
        <f>IFERROR(+VLOOKUP(A8,$L$7:$M$11,2,0),B7*(1+Data!$E$15))</f>
        <v>#VALUE!</v>
      </c>
      <c r="C8" s="2">
        <f>ROUND(IF(A8&lt;Data!$C$28,MIN(B8,E8),IF(A8=Data!$C$28,MIN(B8,E8)*(Data!$D$28-1)/12,0)),2)</f>
        <v>0</v>
      </c>
      <c r="D8" s="3">
        <f>ROUND(IF(A8&lt;Data!$C$28,1,IF(A8=Data!$C$28,(Data!$D$28-1)/12,0)),8)</f>
        <v>0</v>
      </c>
      <c r="E8" s="2">
        <f>+E7*(1+$E$2)</f>
        <v>200543.22</v>
      </c>
      <c r="F8" s="4" t="e">
        <f t="shared" ref="F8:F55" si="2">ROUND(IF(OR(A8&gt;YEAR($M$18),A8&lt;YEAR($M$17)),0,YEARFRAC(MAX(DATE(A8,1,1),$M$17),MIN(DATE(A8,12,31),$M$18),0)),8)</f>
        <v>#NUM!</v>
      </c>
      <c r="H8" s="13">
        <v>1992</v>
      </c>
      <c r="I8" s="14">
        <v>1722.22</v>
      </c>
      <c r="J8" s="14">
        <f>+tablemax[[#This Row],[Plafond des PD]]/0.02</f>
        <v>86111</v>
      </c>
      <c r="L8" s="17">
        <f>+L9-1</f>
        <v>-3</v>
      </c>
      <c r="M8" s="21" t="e">
        <f>+IF(L8=Data!$S$3,Data!$T$3,M9/(1+Data!$T$5))</f>
        <v>#DIV/0!</v>
      </c>
      <c r="N8" s="5"/>
    </row>
    <row r="9" spans="1:15" ht="15" x14ac:dyDescent="0.2">
      <c r="A9">
        <f t="shared" si="1"/>
        <v>2028</v>
      </c>
      <c r="B9" s="2" t="e">
        <f>IFERROR(+VLOOKUP(A9,$L$7:$M$11,2,0),B8*(1+Data!$E$15))</f>
        <v>#VALUE!</v>
      </c>
      <c r="C9" s="2">
        <f>ROUND(IF(A9&lt;Data!$C$28,MIN(B9,E9),IF(A9=Data!$C$28,MIN(B9,E9)*(Data!$D$28-1)/12,0)),2)</f>
        <v>0</v>
      </c>
      <c r="D9" s="3">
        <f>ROUND(IF(A9&lt;Data!$C$28,1,IF(A9=Data!$C$28,(Data!$D$28-1)/12,0)),8)</f>
        <v>0</v>
      </c>
      <c r="E9" s="2">
        <f>+E8*(1+$E$2)</f>
        <v>204554.08439999999</v>
      </c>
      <c r="F9" s="4" t="e">
        <f t="shared" si="2"/>
        <v>#NUM!</v>
      </c>
      <c r="H9" s="13">
        <v>1993</v>
      </c>
      <c r="I9" s="14">
        <v>1722.22</v>
      </c>
      <c r="J9" s="14">
        <f>+tablemax[[#This Row],[Plafond des PD]]/0.02</f>
        <v>86111</v>
      </c>
      <c r="L9" s="17">
        <f>+L10-1</f>
        <v>-2</v>
      </c>
      <c r="M9" s="21" t="e">
        <f>+IF(L9=Data!$S$3,Data!$T$3,M10/(1+Data!$T$5))</f>
        <v>#DIV/0!</v>
      </c>
      <c r="O9" s="11"/>
    </row>
    <row r="10" spans="1:15" ht="15" x14ac:dyDescent="0.2">
      <c r="A10">
        <f t="shared" si="1"/>
        <v>2029</v>
      </c>
      <c r="B10" s="2" t="e">
        <f>IFERROR(+VLOOKUP(A10,$L$7:$M$11,2,0),B9*(1+Data!$E$15))</f>
        <v>#VALUE!</v>
      </c>
      <c r="C10" s="2">
        <f>ROUND(IF(A10&lt;Data!$C$28,MIN(B10,E10),IF(A10=Data!$C$28,MIN(B10,E10)*(Data!$D$28-1)/12,0)),2)</f>
        <v>0</v>
      </c>
      <c r="D10" s="3">
        <f>ROUND(IF(A10&lt;Data!$C$28,1,IF(A10=Data!$C$28,(Data!$D$28-1)/12,0)),8)</f>
        <v>0</v>
      </c>
      <c r="E10" s="2">
        <f t="shared" ref="E10:E55" si="3">+E9*(1+$E$2)</f>
        <v>208645.166088</v>
      </c>
      <c r="F10" s="4" t="e">
        <f t="shared" si="2"/>
        <v>#NUM!</v>
      </c>
      <c r="H10" s="13">
        <v>1994</v>
      </c>
      <c r="I10" s="14">
        <v>1722.22</v>
      </c>
      <c r="J10" s="14">
        <f>+tablemax[[#This Row],[Plafond des PD]]/0.02</f>
        <v>86111</v>
      </c>
      <c r="L10" s="17">
        <f>+L11-1</f>
        <v>-1</v>
      </c>
      <c r="M10" s="21">
        <f>+IF(L10=Data!$S$3,Data!$T$3,M11/(1+Data!$T$5))</f>
        <v>0</v>
      </c>
      <c r="O10" s="11"/>
    </row>
    <row r="11" spans="1:15" ht="15" x14ac:dyDescent="0.2">
      <c r="A11">
        <f t="shared" si="1"/>
        <v>2030</v>
      </c>
      <c r="B11" s="2" t="e">
        <f>IFERROR(+VLOOKUP(A11,$L$7:$M$11,2,0),B10*(1+Data!$E$15))</f>
        <v>#VALUE!</v>
      </c>
      <c r="C11" s="2">
        <f>ROUND(IF(A11&lt;Data!$C$28,MIN(B11,E11),IF(A11=Data!$C$28,MIN(B11,E11)*(Data!$D$28-1)/12,0)),2)</f>
        <v>0</v>
      </c>
      <c r="D11" s="3">
        <f>ROUND(IF(A11&lt;Data!$C$28,1,IF(A11=Data!$C$28,(Data!$D$28-1)/12,0)),8)</f>
        <v>0</v>
      </c>
      <c r="E11" s="2">
        <f>+E10*(1+$E$2)</f>
        <v>212818.06940976001</v>
      </c>
      <c r="F11" s="4" t="e">
        <f t="shared" si="2"/>
        <v>#NUM!</v>
      </c>
      <c r="H11" s="13">
        <v>1995</v>
      </c>
      <c r="I11" s="14">
        <v>1722.22</v>
      </c>
      <c r="J11" s="14">
        <f>+tablemax[[#This Row],[Plafond des PD]]/0.02</f>
        <v>86111</v>
      </c>
      <c r="K11" s="11"/>
      <c r="L11" s="17">
        <f>Data!S4</f>
        <v>0</v>
      </c>
      <c r="M11" s="21">
        <f>+Data!T4</f>
        <v>0</v>
      </c>
      <c r="O11" s="11"/>
    </row>
    <row r="12" spans="1:15" x14ac:dyDescent="0.2">
      <c r="A12">
        <f t="shared" si="1"/>
        <v>2031</v>
      </c>
      <c r="B12" s="2" t="e">
        <f>IFERROR(+VLOOKUP(A12,$L$7:$M$11,2,0),B11*(1+Data!$E$15))</f>
        <v>#VALUE!</v>
      </c>
      <c r="C12" s="2">
        <f>ROUND(IF(A12&lt;Data!$C$28,MIN(B12,E12),IF(A12=Data!$C$28,MIN(B12,E12)*(Data!$D$28-1)/12,0)),2)</f>
        <v>0</v>
      </c>
      <c r="D12" s="3">
        <f>ROUND(IF(A12&lt;Data!$C$28,1,IF(A12=Data!$C$28,(Data!$D$28-1)/12,0)),8)</f>
        <v>0</v>
      </c>
      <c r="E12" s="2">
        <f t="shared" si="3"/>
        <v>217074.4307979552</v>
      </c>
      <c r="F12" s="4" t="e">
        <f t="shared" si="2"/>
        <v>#NUM!</v>
      </c>
      <c r="H12" s="13">
        <v>1996</v>
      </c>
      <c r="I12" s="14">
        <v>1722.22</v>
      </c>
      <c r="J12" s="14">
        <f>+tablemax[[#This Row],[Plafond des PD]]/0.02</f>
        <v>86111</v>
      </c>
      <c r="K12" s="11"/>
    </row>
    <row r="13" spans="1:15" x14ac:dyDescent="0.2">
      <c r="A13">
        <f t="shared" si="1"/>
        <v>2032</v>
      </c>
      <c r="B13" s="2" t="e">
        <f>IFERROR(+VLOOKUP(A13,$L$7:$M$11,2,0),B12*(1+Data!$E$15))</f>
        <v>#VALUE!</v>
      </c>
      <c r="C13" s="2">
        <f>ROUND(IF(A13&lt;Data!$C$28,MIN(B13,E13),IF(A13=Data!$C$28,MIN(B13,E13)*(Data!$D$28-1)/12,0)),2)</f>
        <v>0</v>
      </c>
      <c r="D13" s="3">
        <f>ROUND(IF(A13&lt;Data!$C$28,1,IF(A13=Data!$C$28,(Data!$D$28-1)/12,0)),8)</f>
        <v>0</v>
      </c>
      <c r="E13" s="2">
        <f t="shared" si="3"/>
        <v>221415.91941391429</v>
      </c>
      <c r="F13" s="4" t="e">
        <f t="shared" si="2"/>
        <v>#NUM!</v>
      </c>
      <c r="H13" s="13">
        <v>1997</v>
      </c>
      <c r="I13" s="14">
        <v>1722.22</v>
      </c>
      <c r="J13" s="14">
        <f>+tablemax[[#This Row],[Plafond des PD]]/0.02</f>
        <v>86111</v>
      </c>
      <c r="K13" s="11"/>
    </row>
    <row r="14" spans="1:15" x14ac:dyDescent="0.2">
      <c r="A14">
        <f t="shared" si="1"/>
        <v>2033</v>
      </c>
      <c r="B14" s="2" t="e">
        <f>IFERROR(+VLOOKUP(A14,$L$7:$M$11,2,0),B13*(1+Data!$E$15))</f>
        <v>#VALUE!</v>
      </c>
      <c r="C14" s="2">
        <f>ROUND(IF(A14&lt;Data!$C$28,MIN(B14,E14),IF(A14=Data!$C$28,MIN(B14,E14)*(Data!$D$28-1)/12,0)),2)</f>
        <v>0</v>
      </c>
      <c r="D14" s="3">
        <f>ROUND(IF(A14&lt;Data!$C$28,1,IF(A14=Data!$C$28,(Data!$D$28-1)/12,0)),8)</f>
        <v>0</v>
      </c>
      <c r="E14" s="2">
        <f t="shared" si="3"/>
        <v>225844.23780219257</v>
      </c>
      <c r="F14" s="4" t="e">
        <f t="shared" si="2"/>
        <v>#NUM!</v>
      </c>
      <c r="G14" s="2"/>
      <c r="H14" s="13">
        <v>1998</v>
      </c>
      <c r="I14" s="14">
        <v>1722.22</v>
      </c>
      <c r="J14" s="14">
        <f>+tablemax[[#This Row],[Plafond des PD]]/0.02</f>
        <v>86111</v>
      </c>
    </row>
    <row r="15" spans="1:15" x14ac:dyDescent="0.2">
      <c r="A15">
        <f t="shared" si="1"/>
        <v>2034</v>
      </c>
      <c r="B15" s="2" t="e">
        <f>IFERROR(+VLOOKUP(A15,$L$7:$M$11,2,0),B14*(1+Data!$E$15))</f>
        <v>#VALUE!</v>
      </c>
      <c r="C15" s="2">
        <f>ROUND(IF(A15&lt;Data!$C$28,MIN(B15,E15),IF(A15=Data!$C$28,MIN(B15,E15)*(Data!$D$28-1)/12,0)),2)</f>
        <v>0</v>
      </c>
      <c r="D15" s="3">
        <f>ROUND(IF(A15&lt;Data!$C$28,1,IF(A15=Data!$C$28,(Data!$D$28-1)/12,0)),8)</f>
        <v>0</v>
      </c>
      <c r="E15" s="2">
        <f t="shared" si="3"/>
        <v>230361.12255823641</v>
      </c>
      <c r="F15" s="4" t="e">
        <f t="shared" si="2"/>
        <v>#NUM!</v>
      </c>
      <c r="H15" s="13">
        <v>1999</v>
      </c>
      <c r="I15" s="14">
        <v>1722.22</v>
      </c>
      <c r="J15" s="14">
        <f>+tablemax[[#This Row],[Plafond des PD]]/0.02</f>
        <v>86111</v>
      </c>
    </row>
    <row r="16" spans="1:15" x14ac:dyDescent="0.2">
      <c r="A16">
        <f t="shared" si="1"/>
        <v>2035</v>
      </c>
      <c r="B16" s="2" t="e">
        <f>IFERROR(+VLOOKUP(A16,$L$7:$M$11,2,0),B15*(1+Data!$E$15))</f>
        <v>#VALUE!</v>
      </c>
      <c r="C16" s="2">
        <f>ROUND(IF(A16&lt;Data!$C$28,MIN(B16,E16),IF(A16=Data!$C$28,MIN(B16,E16)*(Data!$D$28-1)/12,0)),2)</f>
        <v>0</v>
      </c>
      <c r="D16" s="3">
        <f>ROUND(IF(A16&lt;Data!$C$28,1,IF(A16=Data!$C$28,(Data!$D$28-1)/12,0)),8)</f>
        <v>0</v>
      </c>
      <c r="E16" s="2">
        <f t="shared" si="3"/>
        <v>234968.34500940115</v>
      </c>
      <c r="F16" s="4" t="e">
        <f t="shared" si="2"/>
        <v>#NUM!</v>
      </c>
      <c r="H16" s="13">
        <v>2000</v>
      </c>
      <c r="I16" s="14">
        <v>1722.22</v>
      </c>
      <c r="J16" s="14">
        <f>+tablemax[[#This Row],[Plafond des PD]]/0.02</f>
        <v>86111</v>
      </c>
    </row>
    <row r="17" spans="1:13" x14ac:dyDescent="0.2">
      <c r="A17">
        <f t="shared" si="1"/>
        <v>2036</v>
      </c>
      <c r="B17" s="2" t="e">
        <f>IFERROR(+VLOOKUP(A17,$L$7:$M$11,2,0),B16*(1+Data!$E$15))</f>
        <v>#VALUE!</v>
      </c>
      <c r="C17" s="2">
        <f>ROUND(IF(A17&lt;Data!$C$28,MIN(B17,E17),IF(A17=Data!$C$28,MIN(B17,E17)*(Data!$D$28-1)/12,0)),2)</f>
        <v>0</v>
      </c>
      <c r="D17" s="3">
        <f>ROUND(IF(A17&lt;Data!$C$28,1,IF(A17=Data!$C$28,(Data!$D$28-1)/12,0)),8)</f>
        <v>0</v>
      </c>
      <c r="E17" s="2">
        <f t="shared" si="3"/>
        <v>239667.71190958918</v>
      </c>
      <c r="F17" s="4" t="e">
        <f t="shared" si="2"/>
        <v>#NUM!</v>
      </c>
      <c r="H17" s="13">
        <v>2001</v>
      </c>
      <c r="I17" s="14">
        <v>1722.22</v>
      </c>
      <c r="J17" s="14">
        <f>+tablemax[[#This Row],[Plafond des PD]]/0.02</f>
        <v>86111</v>
      </c>
      <c r="L17" s="5" t="s">
        <v>75</v>
      </c>
      <c r="M17" s="108" t="e">
        <f>+EDATE(M18,-36)</f>
        <v>#NUM!</v>
      </c>
    </row>
    <row r="18" spans="1:13" x14ac:dyDescent="0.2">
      <c r="A18">
        <f t="shared" si="1"/>
        <v>2037</v>
      </c>
      <c r="B18" s="2" t="e">
        <f>IFERROR(+VLOOKUP(A18,$L$7:$M$11,2,0),B17*(1+Data!$E$15))</f>
        <v>#VALUE!</v>
      </c>
      <c r="C18" s="2">
        <f>ROUND(IF(A18&lt;Data!$C$28,MIN(B18,E18),IF(A18=Data!$C$28,MIN(B18,E18)*(Data!$D$28-1)/12,0)),2)</f>
        <v>0</v>
      </c>
      <c r="D18" s="3">
        <f>ROUND(IF(A18&lt;Data!$C$28,1,IF(A18=Data!$C$28,(Data!$D$28-1)/12,0)),8)</f>
        <v>0</v>
      </c>
      <c r="E18" s="2">
        <f t="shared" si="3"/>
        <v>244461.06614778098</v>
      </c>
      <c r="F18" s="4" t="e">
        <f t="shared" si="2"/>
        <v>#NUM!</v>
      </c>
      <c r="H18" s="13">
        <v>2002</v>
      </c>
      <c r="I18" s="14">
        <v>1722.22</v>
      </c>
      <c r="J18" s="14">
        <f>+tablemax[[#This Row],[Plafond des PD]]/0.02</f>
        <v>86111</v>
      </c>
      <c r="L18" s="5" t="s">
        <v>76</v>
      </c>
      <c r="M18" s="108" t="e">
        <f>DATE(Data!C28,Data!D28,1)</f>
        <v>#NUM!</v>
      </c>
    </row>
    <row r="19" spans="1:13" x14ac:dyDescent="0.2">
      <c r="A19">
        <f t="shared" si="1"/>
        <v>2038</v>
      </c>
      <c r="B19" s="2" t="e">
        <f>IFERROR(+VLOOKUP(A19,$L$7:$M$11,2,0),B18*(1+Data!$E$15))</f>
        <v>#VALUE!</v>
      </c>
      <c r="C19" s="2">
        <f>ROUND(IF(A19&lt;Data!$C$28,MIN(B19,E19),IF(A19=Data!$C$28,MIN(B19,E19)*(Data!$D$28-1)/12,0)),2)</f>
        <v>0</v>
      </c>
      <c r="D19" s="3">
        <f>ROUND(IF(A19&lt;Data!$C$28,1,IF(A19=Data!$C$28,(Data!$D$28-1)/12,0)),8)</f>
        <v>0</v>
      </c>
      <c r="E19" s="2">
        <f t="shared" si="3"/>
        <v>249350.2874707366</v>
      </c>
      <c r="F19" s="4" t="e">
        <f t="shared" si="2"/>
        <v>#NUM!</v>
      </c>
      <c r="H19" s="13">
        <v>2003</v>
      </c>
      <c r="I19" s="14">
        <v>1722.22</v>
      </c>
      <c r="J19" s="14">
        <f>+tablemax[[#This Row],[Plafond des PD]]/0.02</f>
        <v>86111</v>
      </c>
    </row>
    <row r="20" spans="1:13" x14ac:dyDescent="0.2">
      <c r="A20">
        <f t="shared" si="1"/>
        <v>2039</v>
      </c>
      <c r="B20" s="2" t="e">
        <f>IFERROR(+VLOOKUP(A20,$L$7:$M$11,2,0),B19*(1+Data!$E$15))</f>
        <v>#VALUE!</v>
      </c>
      <c r="C20" s="2">
        <f>ROUND(IF(A20&lt;Data!$C$28,MIN(B20,E20),IF(A20=Data!$C$28,MIN(B20,E20)*(Data!$D$28-1)/12,0)),2)</f>
        <v>0</v>
      </c>
      <c r="D20" s="3">
        <f>ROUND(IF(A20&lt;Data!$C$28,1,IF(A20=Data!$C$28,(Data!$D$28-1)/12,0)),8)</f>
        <v>0</v>
      </c>
      <c r="E20" s="2">
        <f t="shared" si="3"/>
        <v>254337.29322015133</v>
      </c>
      <c r="F20" s="4" t="e">
        <f t="shared" si="2"/>
        <v>#NUM!</v>
      </c>
      <c r="H20" s="13">
        <v>2004</v>
      </c>
      <c r="I20" s="14">
        <v>1833.33</v>
      </c>
      <c r="J20" s="14">
        <f>+tablemax[[#This Row],[Plafond des PD]]/0.02</f>
        <v>91666.5</v>
      </c>
      <c r="L20" s="5" t="s">
        <v>77</v>
      </c>
      <c r="M20" t="e">
        <f>ROUND(MIN(SUMPRODUCT(B4:B55,F4:F55)/SUM(F4:F55),INDEX($E$4:$E$55,MATCH(YEAR(M18)+IF(MONTH(M18)=1,-1,0),$A$4:$A$55,0),1)),2)</f>
        <v>#VALUE!</v>
      </c>
    </row>
    <row r="21" spans="1:13" x14ac:dyDescent="0.2">
      <c r="A21">
        <f t="shared" si="1"/>
        <v>2040</v>
      </c>
      <c r="B21" s="2" t="e">
        <f>IFERROR(+VLOOKUP(A21,$L$7:$M$11,2,0),B20*(1+Data!$E$15))</f>
        <v>#VALUE!</v>
      </c>
      <c r="C21" s="2">
        <f>ROUND(IF(A21&lt;Data!$C$28,MIN(B21,E21),IF(A21=Data!$C$28,MIN(B21,E21)*(Data!$D$28-1)/12,0)),2)</f>
        <v>0</v>
      </c>
      <c r="D21" s="3">
        <f>ROUND(IF(A21&lt;Data!$C$28,1,IF(A21=Data!$C$28,(Data!$D$28-1)/12,0)),8)</f>
        <v>0</v>
      </c>
      <c r="E21" s="2">
        <f t="shared" si="3"/>
        <v>259424.03908455436</v>
      </c>
      <c r="F21" s="4" t="e">
        <f t="shared" si="2"/>
        <v>#NUM!</v>
      </c>
      <c r="H21" s="13">
        <v>2005</v>
      </c>
      <c r="I21" s="14">
        <v>2000</v>
      </c>
      <c r="J21" s="14">
        <f>+tablemax[[#This Row],[Plafond des PD]]/0.02</f>
        <v>100000</v>
      </c>
    </row>
    <row r="22" spans="1:13" x14ac:dyDescent="0.2">
      <c r="A22">
        <f t="shared" si="1"/>
        <v>2041</v>
      </c>
      <c r="B22" s="2" t="e">
        <f>IFERROR(+VLOOKUP(A22,$L$7:$M$11,2,0),B21*(1+Data!$E$15))</f>
        <v>#VALUE!</v>
      </c>
      <c r="C22" s="2">
        <f>ROUND(IF(A22&lt;Data!$C$28,MIN(B22,E22),IF(A22=Data!$C$28,MIN(B22,E22)*(Data!$D$28-1)/12,0)),2)</f>
        <v>0</v>
      </c>
      <c r="D22" s="3">
        <f>ROUND(IF(A22&lt;Data!$C$28,1,IF(A22=Data!$C$28,(Data!$D$28-1)/12,0)),8)</f>
        <v>0</v>
      </c>
      <c r="E22" s="2">
        <f t="shared" si="3"/>
        <v>264612.51986624545</v>
      </c>
      <c r="F22" s="4" t="e">
        <f t="shared" si="2"/>
        <v>#NUM!</v>
      </c>
      <c r="H22" s="13">
        <v>2006</v>
      </c>
      <c r="I22" s="14">
        <v>2111.11</v>
      </c>
      <c r="J22" s="14">
        <f>+tablemax[[#This Row],[Plafond des PD]]/0.02</f>
        <v>105555.5</v>
      </c>
    </row>
    <row r="23" spans="1:13" x14ac:dyDescent="0.2">
      <c r="A23">
        <f t="shared" si="1"/>
        <v>2042</v>
      </c>
      <c r="B23" s="2" t="e">
        <f>IFERROR(+VLOOKUP(A23,$L$7:$M$11,2,0),B22*(1+Data!$E$15))</f>
        <v>#VALUE!</v>
      </c>
      <c r="C23" s="2">
        <f>ROUND(IF(A23&lt;Data!$C$28,MIN(B23,E23),IF(A23=Data!$C$28,MIN(B23,E23)*(Data!$D$28-1)/12,0)),2)</f>
        <v>0</v>
      </c>
      <c r="D23" s="3">
        <f>ROUND(IF(A23&lt;Data!$C$28,1,IF(A23=Data!$C$28,(Data!$D$28-1)/12,0)),8)</f>
        <v>0</v>
      </c>
      <c r="E23" s="2">
        <f t="shared" si="3"/>
        <v>269904.77026357036</v>
      </c>
      <c r="F23" s="4" t="e">
        <f t="shared" si="2"/>
        <v>#NUM!</v>
      </c>
      <c r="H23" s="13">
        <v>2007</v>
      </c>
      <c r="I23" s="14">
        <v>2222.2199999999998</v>
      </c>
      <c r="J23" s="14">
        <f>+tablemax[[#This Row],[Plafond des PD]]/0.02</f>
        <v>111110.99999999999</v>
      </c>
    </row>
    <row r="24" spans="1:13" ht="13.5" customHeight="1" x14ac:dyDescent="0.2">
      <c r="A24">
        <f t="shared" si="1"/>
        <v>2043</v>
      </c>
      <c r="B24" s="2" t="e">
        <f>IFERROR(+VLOOKUP(A24,$L$7:$M$11,2,0),B23*(1+Data!$E$15))</f>
        <v>#VALUE!</v>
      </c>
      <c r="C24" s="2">
        <f>ROUND(IF(A24&lt;Data!$C$28,MIN(B24,E24),IF(A24=Data!$C$28,MIN(B24,E24)*(Data!$D$28-1)/12,0)),2)</f>
        <v>0</v>
      </c>
      <c r="D24" s="3">
        <f>ROUND(IF(A24&lt;Data!$C$28,1,IF(A24=Data!$C$28,(Data!$D$28-1)/12,0)),8)</f>
        <v>0</v>
      </c>
      <c r="E24" s="2">
        <f t="shared" si="3"/>
        <v>275302.86566884175</v>
      </c>
      <c r="F24" s="4" t="e">
        <f t="shared" si="2"/>
        <v>#NUM!</v>
      </c>
      <c r="H24" s="13">
        <v>2008</v>
      </c>
      <c r="I24" s="14">
        <v>2333.33</v>
      </c>
      <c r="J24" s="14">
        <f>+tablemax[[#This Row],[Plafond des PD]]/0.02</f>
        <v>116666.5</v>
      </c>
    </row>
    <row r="25" spans="1:13" x14ac:dyDescent="0.2">
      <c r="A25">
        <f t="shared" si="1"/>
        <v>2044</v>
      </c>
      <c r="B25" s="2" t="e">
        <f>IFERROR(+VLOOKUP(A25,$L$7:$M$11,2,0),B24*(1+Data!$E$15))</f>
        <v>#VALUE!</v>
      </c>
      <c r="C25" s="2">
        <f>ROUND(IF(A25&lt;Data!$C$28,MIN(B25,E25),IF(A25=Data!$C$28,MIN(B25,E25)*(Data!$D$28-1)/12,0)),2)</f>
        <v>0</v>
      </c>
      <c r="D25" s="3">
        <f>ROUND(IF(A25&lt;Data!$C$28,1,IF(A25=Data!$C$28,(Data!$D$28-1)/12,0)),8)</f>
        <v>0</v>
      </c>
      <c r="E25" s="2">
        <f t="shared" si="3"/>
        <v>280808.92298221862</v>
      </c>
      <c r="F25" s="4" t="e">
        <f t="shared" si="2"/>
        <v>#NUM!</v>
      </c>
      <c r="H25" s="13">
        <v>2009</v>
      </c>
      <c r="I25" s="14">
        <v>2444.44</v>
      </c>
      <c r="J25" s="14">
        <f>+tablemax[[#This Row],[Plafond des PD]]/0.02</f>
        <v>122222</v>
      </c>
      <c r="M25" s="5"/>
    </row>
    <row r="26" spans="1:13" x14ac:dyDescent="0.2">
      <c r="A26">
        <f t="shared" si="1"/>
        <v>2045</v>
      </c>
      <c r="B26" s="2" t="e">
        <f>IFERROR(+VLOOKUP(A26,$L$7:$M$11,2,0),B25*(1+Data!$E$15))</f>
        <v>#VALUE!</v>
      </c>
      <c r="C26" s="2">
        <f>ROUND(IF(A26&lt;Data!$C$28,MIN(B26,E26),IF(A26=Data!$C$28,MIN(B26,E26)*(Data!$D$28-1)/12,0)),2)</f>
        <v>0</v>
      </c>
      <c r="D26" s="3">
        <f>ROUND(IF(A26&lt;Data!$C$28,1,IF(A26=Data!$C$28,(Data!$D$28-1)/12,0)),8)</f>
        <v>0</v>
      </c>
      <c r="E26" s="2">
        <f t="shared" si="3"/>
        <v>286425.10144186299</v>
      </c>
      <c r="F26" s="4" t="e">
        <f t="shared" si="2"/>
        <v>#NUM!</v>
      </c>
      <c r="H26" s="13">
        <v>2010</v>
      </c>
      <c r="I26" s="14">
        <v>2494.44</v>
      </c>
      <c r="J26" s="14">
        <f>+tablemax[[#This Row],[Plafond des PD]]/0.02</f>
        <v>124722</v>
      </c>
    </row>
    <row r="27" spans="1:13" x14ac:dyDescent="0.2">
      <c r="A27">
        <f t="shared" si="1"/>
        <v>2046</v>
      </c>
      <c r="B27" s="2" t="e">
        <f>IFERROR(+VLOOKUP(A27,$L$7:$M$11,2,0),B26*(1+Data!$E$15))</f>
        <v>#VALUE!</v>
      </c>
      <c r="C27" s="2">
        <f>ROUND(IF(A27&lt;Data!$C$28,MIN(B27,E27),IF(A27=Data!$C$28,MIN(B27,E27)*(Data!$D$28-1)/12,0)),2)</f>
        <v>0</v>
      </c>
      <c r="D27" s="3">
        <f>ROUND(IF(A27&lt;Data!$C$28,1,IF(A27=Data!$C$28,(Data!$D$28-1)/12,0)),8)</f>
        <v>0</v>
      </c>
      <c r="E27" s="2">
        <f t="shared" si="3"/>
        <v>292153.60347070027</v>
      </c>
      <c r="F27" s="4" t="e">
        <f t="shared" si="2"/>
        <v>#NUM!</v>
      </c>
      <c r="H27" s="13">
        <v>2011</v>
      </c>
      <c r="I27" s="14">
        <v>2552.2199999999998</v>
      </c>
      <c r="J27" s="14">
        <f>+tablemax[[#This Row],[Plafond des PD]]/0.02</f>
        <v>127610.99999999999</v>
      </c>
    </row>
    <row r="28" spans="1:13" x14ac:dyDescent="0.2">
      <c r="A28">
        <f t="shared" si="1"/>
        <v>2047</v>
      </c>
      <c r="B28" s="2" t="e">
        <f>IFERROR(+VLOOKUP(A28,$L$7:$M$11,2,0),B27*(1+Data!$E$15))</f>
        <v>#VALUE!</v>
      </c>
      <c r="C28" s="2">
        <f>ROUND(IF(A28&lt;Data!$C$28,MIN(B28,E28),IF(A28=Data!$C$28,MIN(B28,E28)*(Data!$D$28-1)/12,0)),2)</f>
        <v>0</v>
      </c>
      <c r="D28" s="3">
        <f>ROUND(IF(A28&lt;Data!$C$28,1,IF(A28=Data!$C$28,(Data!$D$28-1)/12,0)),8)</f>
        <v>0</v>
      </c>
      <c r="E28" s="2">
        <f t="shared" si="3"/>
        <v>297996.67554011429</v>
      </c>
      <c r="F28" s="4" t="e">
        <f t="shared" si="2"/>
        <v>#NUM!</v>
      </c>
      <c r="H28" s="13">
        <v>2012</v>
      </c>
      <c r="I28" s="14">
        <v>2646.67</v>
      </c>
      <c r="J28" s="14">
        <f>+tablemax[[#This Row],[Plafond des PD]]/0.02</f>
        <v>132333.5</v>
      </c>
    </row>
    <row r="29" spans="1:13" x14ac:dyDescent="0.2">
      <c r="A29">
        <f t="shared" si="1"/>
        <v>2048</v>
      </c>
      <c r="B29" s="2" t="e">
        <f>IFERROR(+VLOOKUP(A29,$L$7:$M$11,2,0),B28*(1+Data!$E$15))</f>
        <v>#VALUE!</v>
      </c>
      <c r="C29" s="2">
        <f>ROUND(IF(A29&lt;Data!$C$28,MIN(B29,E29),IF(A29=Data!$C$28,MIN(B29,E29)*(Data!$D$28-1)/12,0)),2)</f>
        <v>0</v>
      </c>
      <c r="D29" s="3">
        <f>ROUND(IF(A29&lt;Data!$C$28,1,IF(A29=Data!$C$28,(Data!$D$28-1)/12,0)),8)</f>
        <v>0</v>
      </c>
      <c r="E29" s="2">
        <f t="shared" si="3"/>
        <v>303956.60905091657</v>
      </c>
      <c r="F29" s="4" t="e">
        <f t="shared" si="2"/>
        <v>#NUM!</v>
      </c>
      <c r="H29" s="13">
        <v>2013</v>
      </c>
      <c r="I29" s="14">
        <v>2696.67</v>
      </c>
      <c r="J29" s="14">
        <f>+tablemax[[#This Row],[Plafond des PD]]/0.02</f>
        <v>134833.5</v>
      </c>
    </row>
    <row r="30" spans="1:13" x14ac:dyDescent="0.2">
      <c r="A30">
        <f t="shared" si="1"/>
        <v>2049</v>
      </c>
      <c r="B30" s="2" t="e">
        <f>IFERROR(+VLOOKUP(A30,$L$7:$M$11,2,0),B29*(1+Data!$E$15))</f>
        <v>#VALUE!</v>
      </c>
      <c r="C30" s="2">
        <f>ROUND(IF(A30&lt;Data!$C$28,MIN(B30,E30),IF(A30=Data!$C$28,MIN(B30,E30)*(Data!$D$28-1)/12,0)),2)</f>
        <v>0</v>
      </c>
      <c r="D30" s="3">
        <f>ROUND(IF(A30&lt;Data!$C$28,1,IF(A30=Data!$C$28,(Data!$D$28-1)/12,0)),8)</f>
        <v>0</v>
      </c>
      <c r="E30" s="2">
        <f t="shared" si="3"/>
        <v>310035.74123193492</v>
      </c>
      <c r="F30" s="4" t="e">
        <f t="shared" si="2"/>
        <v>#NUM!</v>
      </c>
      <c r="H30" s="13">
        <v>2014</v>
      </c>
      <c r="I30" s="14">
        <v>2770</v>
      </c>
      <c r="J30" s="14">
        <f>+tablemax[[#This Row],[Plafond des PD]]/0.02</f>
        <v>138500</v>
      </c>
    </row>
    <row r="31" spans="1:13" x14ac:dyDescent="0.2">
      <c r="A31">
        <f t="shared" si="1"/>
        <v>2050</v>
      </c>
      <c r="B31" s="2" t="e">
        <f>IFERROR(+VLOOKUP(A31,$L$7:$M$11,2,0),B30*(1+Data!$E$15))</f>
        <v>#VALUE!</v>
      </c>
      <c r="C31" s="2">
        <f>ROUND(IF(A31&lt;Data!$C$28,MIN(B31,E31),IF(A31=Data!$C$28,MIN(B31,E31)*(Data!$D$28-1)/12,0)),2)</f>
        <v>0</v>
      </c>
      <c r="D31" s="3">
        <f>ROUND(IF(A31&lt;Data!$C$28,1,IF(A31=Data!$C$28,(Data!$D$28-1)/12,0)),8)</f>
        <v>0</v>
      </c>
      <c r="E31" s="2">
        <f t="shared" si="3"/>
        <v>316236.4560565736</v>
      </c>
      <c r="F31" s="4" t="e">
        <f t="shared" si="2"/>
        <v>#NUM!</v>
      </c>
      <c r="H31" s="13">
        <v>2015</v>
      </c>
      <c r="I31" s="14">
        <v>2818.89</v>
      </c>
      <c r="J31" s="14">
        <f>+tablemax[[#This Row],[Plafond des PD]]/0.02</f>
        <v>140944.5</v>
      </c>
    </row>
    <row r="32" spans="1:13" x14ac:dyDescent="0.2">
      <c r="A32">
        <f t="shared" si="1"/>
        <v>2051</v>
      </c>
      <c r="B32" s="2" t="e">
        <f>IFERROR(+VLOOKUP(A32,$L$7:$M$11,2,0),B31*(1+Data!$E$15))</f>
        <v>#VALUE!</v>
      </c>
      <c r="C32" s="2">
        <f>ROUND(IF(A32&lt;Data!$C$28,MIN(B32,E32),IF(A32=Data!$C$28,MIN(B32,E32)*(Data!$D$28-1)/12,0)),2)</f>
        <v>0</v>
      </c>
      <c r="D32" s="3">
        <f>ROUND(IF(A32&lt;Data!$C$28,1,IF(A32=Data!$C$28,(Data!$D$28-1)/12,0)),8)</f>
        <v>0</v>
      </c>
      <c r="E32" s="2">
        <f t="shared" si="3"/>
        <v>322561.18517770508</v>
      </c>
      <c r="F32" s="4" t="e">
        <f t="shared" si="2"/>
        <v>#NUM!</v>
      </c>
      <c r="H32" s="13">
        <v>2016</v>
      </c>
      <c r="I32" s="14">
        <v>2890</v>
      </c>
      <c r="J32" s="14">
        <f>+tablemax[[#This Row],[Plafond des PD]]/0.02</f>
        <v>144500</v>
      </c>
    </row>
    <row r="33" spans="1:10" x14ac:dyDescent="0.2">
      <c r="A33">
        <f t="shared" si="1"/>
        <v>2052</v>
      </c>
      <c r="B33" s="2" t="e">
        <f>IFERROR(+VLOOKUP(A33,$L$7:$M$11,2,0),B32*(1+Data!$E$15))</f>
        <v>#VALUE!</v>
      </c>
      <c r="C33" s="2">
        <f>ROUND(IF(A33&lt;Data!$C$28,MIN(B33,E33),IF(A33=Data!$C$28,MIN(B33,E33)*(Data!$D$28-1)/12,0)),2)</f>
        <v>0</v>
      </c>
      <c r="D33" s="3">
        <f>ROUND(IF(A33&lt;Data!$C$28,1,IF(A33=Data!$C$28,(Data!$D$28-1)/12,0)),8)</f>
        <v>0</v>
      </c>
      <c r="E33" s="2">
        <f t="shared" si="3"/>
        <v>329012.40888125921</v>
      </c>
      <c r="F33" s="4" t="e">
        <f t="shared" si="2"/>
        <v>#NUM!</v>
      </c>
      <c r="H33" s="13">
        <v>2017</v>
      </c>
      <c r="I33" s="14">
        <v>2914.44</v>
      </c>
      <c r="J33" s="14">
        <f>+tablemax[[#This Row],[Plafond des PD]]/0.02</f>
        <v>145722</v>
      </c>
    </row>
    <row r="34" spans="1:10" x14ac:dyDescent="0.2">
      <c r="A34">
        <f t="shared" si="1"/>
        <v>2053</v>
      </c>
      <c r="B34" s="2" t="e">
        <f>IFERROR(+VLOOKUP(A34,$L$7:$M$11,2,0),B33*(1+Data!$E$15))</f>
        <v>#VALUE!</v>
      </c>
      <c r="C34" s="2">
        <f>ROUND(IF(A34&lt;Data!$C$28,MIN(B34,E34),IF(A34=Data!$C$28,MIN(B34,E34)*(Data!$D$28-1)/12,0)),2)</f>
        <v>0</v>
      </c>
      <c r="D34" s="3">
        <f>ROUND(IF(A34&lt;Data!$C$28,1,IF(A34=Data!$C$28,(Data!$D$28-1)/12,0)),8)</f>
        <v>0</v>
      </c>
      <c r="E34" s="2">
        <f t="shared" si="3"/>
        <v>335592.65705888439</v>
      </c>
      <c r="F34" s="4" t="e">
        <f t="shared" si="2"/>
        <v>#NUM!</v>
      </c>
      <c r="H34" s="13">
        <v>2018</v>
      </c>
      <c r="I34" s="14">
        <v>2944.44</v>
      </c>
      <c r="J34" s="14">
        <f>+tablemax[[#This Row],[Plafond des PD]]/0.02</f>
        <v>147222</v>
      </c>
    </row>
    <row r="35" spans="1:10" x14ac:dyDescent="0.2">
      <c r="A35">
        <f t="shared" si="1"/>
        <v>2054</v>
      </c>
      <c r="B35" s="2" t="e">
        <f>IFERROR(+VLOOKUP(A35,$L$7:$M$11,2,0),B34*(1+Data!$E$15))</f>
        <v>#VALUE!</v>
      </c>
      <c r="C35" s="2">
        <f>ROUND(IF(A35&lt;Data!$C$28,MIN(B35,E35),IF(A35=Data!$C$28,MIN(B35,E35)*(Data!$D$28-1)/12,0)),2)</f>
        <v>0</v>
      </c>
      <c r="D35" s="3">
        <f>ROUND(IF(A35&lt;Data!$C$28,1,IF(A35=Data!$C$28,(Data!$D$28-1)/12,0)),8)</f>
        <v>0</v>
      </c>
      <c r="E35" s="2">
        <f t="shared" si="3"/>
        <v>342304.51020006207</v>
      </c>
      <c r="F35" s="4" t="e">
        <f t="shared" si="2"/>
        <v>#NUM!</v>
      </c>
      <c r="H35" s="13">
        <v>2019</v>
      </c>
      <c r="I35" s="14">
        <v>3025.56</v>
      </c>
      <c r="J35" s="14">
        <f>+tablemax[[#This Row],[Plafond des PD]]/0.02</f>
        <v>151278</v>
      </c>
    </row>
    <row r="36" spans="1:10" x14ac:dyDescent="0.2">
      <c r="A36">
        <f t="shared" si="1"/>
        <v>2055</v>
      </c>
      <c r="B36" s="2" t="e">
        <f>IFERROR(+VLOOKUP(A36,$L$7:$M$11,2,0),B35*(1+Data!$E$15))</f>
        <v>#VALUE!</v>
      </c>
      <c r="C36" s="2">
        <f>ROUND(IF(A36&lt;Data!$C$28,MIN(B36,E36),IF(A36=Data!$C$28,MIN(B36,E36)*(Data!$D$28-1)/12,0)),2)</f>
        <v>0</v>
      </c>
      <c r="D36" s="3">
        <f>ROUND(IF(A36&lt;Data!$C$28,1,IF(A36=Data!$C$28,(Data!$D$28-1)/12,0)),8)</f>
        <v>0</v>
      </c>
      <c r="E36" s="2">
        <f t="shared" si="3"/>
        <v>349150.6004040633</v>
      </c>
      <c r="F36" s="4" t="e">
        <f t="shared" si="2"/>
        <v>#NUM!</v>
      </c>
      <c r="H36" s="13">
        <v>2020</v>
      </c>
      <c r="I36" s="14">
        <v>3092.22</v>
      </c>
      <c r="J36" s="14">
        <f>+tablemax[[#This Row],[Plafond des PD]]/0.02</f>
        <v>154611</v>
      </c>
    </row>
    <row r="37" spans="1:10" x14ac:dyDescent="0.2">
      <c r="A37">
        <f t="shared" si="1"/>
        <v>2056</v>
      </c>
      <c r="B37" s="2" t="e">
        <f>IFERROR(+VLOOKUP(A37,$L$7:$M$11,2,0),B36*(1+Data!$E$15))</f>
        <v>#VALUE!</v>
      </c>
      <c r="C37" s="2">
        <f>ROUND(IF(A37&lt;Data!$C$28,MIN(B37,E37),IF(A37=Data!$C$28,MIN(B37,E37)*(Data!$D$28-1)/12,0)),2)</f>
        <v>0</v>
      </c>
      <c r="D37" s="3">
        <f>ROUND(IF(A37&lt;Data!$C$28,1,IF(A37=Data!$C$28,(Data!$D$28-1)/12,0)),8)</f>
        <v>0</v>
      </c>
      <c r="E37" s="2">
        <f t="shared" si="3"/>
        <v>356133.61241214455</v>
      </c>
      <c r="F37" s="4" t="e">
        <f t="shared" si="2"/>
        <v>#NUM!</v>
      </c>
      <c r="H37" s="13">
        <v>2021</v>
      </c>
      <c r="I37" s="14">
        <v>3245.56</v>
      </c>
      <c r="J37" s="14">
        <f>+tablemax[[#This Row],[Plafond des PD]]/0.02</f>
        <v>162278</v>
      </c>
    </row>
    <row r="38" spans="1:10" x14ac:dyDescent="0.2">
      <c r="A38">
        <f t="shared" si="1"/>
        <v>2057</v>
      </c>
      <c r="B38" s="2" t="e">
        <f>IFERROR(+VLOOKUP(A38,$L$7:$M$11,2,0),B37*(1+Data!$E$15))</f>
        <v>#VALUE!</v>
      </c>
      <c r="C38" s="2">
        <f>ROUND(IF(A38&lt;Data!$C$28,MIN(B38,E38),IF(A38=Data!$C$28,MIN(B38,E38)*(Data!$D$28-1)/12,0)),2)</f>
        <v>0</v>
      </c>
      <c r="D38" s="3">
        <f>ROUND(IF(A38&lt;Data!$C$28,1,IF(A38=Data!$C$28,(Data!$D$28-1)/12,0)),8)</f>
        <v>0</v>
      </c>
      <c r="E38" s="2">
        <f t="shared" si="3"/>
        <v>363256.28466038743</v>
      </c>
      <c r="F38" s="4" t="e">
        <f t="shared" si="2"/>
        <v>#NUM!</v>
      </c>
      <c r="H38" s="13">
        <v>2022</v>
      </c>
      <c r="I38" s="14">
        <v>3420</v>
      </c>
      <c r="J38" s="14">
        <f>+tablemax[[#This Row],[Plafond des PD]]/0.02</f>
        <v>171000</v>
      </c>
    </row>
    <row r="39" spans="1:10" x14ac:dyDescent="0.2">
      <c r="A39">
        <f t="shared" si="1"/>
        <v>2058</v>
      </c>
      <c r="B39" s="2" t="e">
        <f>IFERROR(+VLOOKUP(A39,$L$7:$M$11,2,0),B38*(1+Data!$E$15))</f>
        <v>#VALUE!</v>
      </c>
      <c r="C39" s="2">
        <f>ROUND(IF(A39&lt;Data!$C$28,MIN(B39,E39),IF(A39=Data!$C$28,MIN(B39,E39)*(Data!$D$28-1)/12,0)),2)</f>
        <v>0</v>
      </c>
      <c r="D39" s="3">
        <f>ROUND(IF(A39&lt;Data!$C$28,1,IF(A39=Data!$C$28,(Data!$D$28-1)/12,0)),8)</f>
        <v>0</v>
      </c>
      <c r="E39" s="2">
        <f t="shared" si="3"/>
        <v>370521.41035359522</v>
      </c>
      <c r="F39" s="4" t="e">
        <f t="shared" si="2"/>
        <v>#NUM!</v>
      </c>
      <c r="H39" s="13">
        <v>2023</v>
      </c>
      <c r="I39" s="14">
        <v>3506.6759999999999</v>
      </c>
      <c r="J39" s="14">
        <f>+tablemax[[#This Row],[Plafond des PD]]/0.02</f>
        <v>175333.8</v>
      </c>
    </row>
    <row r="40" spans="1:10" x14ac:dyDescent="0.2">
      <c r="A40">
        <f t="shared" si="1"/>
        <v>2059</v>
      </c>
      <c r="B40" s="2" t="e">
        <f>IFERROR(+VLOOKUP(A40,$L$7:$M$11,2,0),B39*(1+Data!$E$15))</f>
        <v>#VALUE!</v>
      </c>
      <c r="C40" s="2">
        <f>ROUND(IF(A40&lt;Data!$C$28,MIN(B40,E40),IF(A40=Data!$C$28,MIN(B40,E40)*(Data!$D$28-1)/12,0)),2)</f>
        <v>0</v>
      </c>
      <c r="D40" s="3">
        <f>ROUND(IF(A40&lt;Data!$C$28,1,IF(A40=Data!$C$28,(Data!$D$28-1)/12,0)),8)</f>
        <v>0</v>
      </c>
      <c r="E40" s="2">
        <f t="shared" si="3"/>
        <v>377931.83856066712</v>
      </c>
      <c r="F40" s="4" t="e">
        <f t="shared" si="2"/>
        <v>#NUM!</v>
      </c>
      <c r="H40" s="13">
        <v>2024</v>
      </c>
      <c r="I40" s="14">
        <v>3610</v>
      </c>
      <c r="J40" s="14">
        <f>+tablemax[[#This Row],[Plafond des PD]]/0.02</f>
        <v>180500</v>
      </c>
    </row>
    <row r="41" spans="1:10" x14ac:dyDescent="0.2">
      <c r="A41">
        <f t="shared" si="1"/>
        <v>2060</v>
      </c>
      <c r="B41" s="2" t="e">
        <f>IFERROR(+VLOOKUP(A41,$L$7:$M$11,2,0),B40*(1+Data!$E$15))</f>
        <v>#VALUE!</v>
      </c>
      <c r="C41" s="2">
        <f>ROUND(IF(A41&lt;Data!$C$28,MIN(B41,E41),IF(A41=Data!$C$28,MIN(B41,E41)*(Data!$D$28-1)/12,0)),2)</f>
        <v>0</v>
      </c>
      <c r="D41" s="3">
        <f>ROUND(IF(A41&lt;Data!$C$28,1,IF(A41=Data!$C$28,(Data!$D$28-1)/12,0)),8)</f>
        <v>0</v>
      </c>
      <c r="E41" s="2">
        <f t="shared" si="3"/>
        <v>385490.47533188044</v>
      </c>
      <c r="F41" s="4" t="e">
        <f t="shared" si="2"/>
        <v>#NUM!</v>
      </c>
      <c r="H41" s="13">
        <v>2025</v>
      </c>
      <c r="I41" s="14">
        <v>3756.67</v>
      </c>
      <c r="J41" s="14">
        <f>+tablemax[[#This Row],[Plafond des PD]]/0.02</f>
        <v>187833.5</v>
      </c>
    </row>
    <row r="42" spans="1:10" x14ac:dyDescent="0.2">
      <c r="A42">
        <f t="shared" si="1"/>
        <v>2061</v>
      </c>
      <c r="B42" s="2" t="e">
        <f>IFERROR(+VLOOKUP(A42,$L$7:$M$11,2,0),B41*(1+Data!$E$15))</f>
        <v>#VALUE!</v>
      </c>
      <c r="C42" s="2">
        <f>ROUND(IF(A42&lt;Data!$C$28,MIN(B42,E42),IF(A42=Data!$C$28,MIN(B42,E42)*(Data!$D$28-1)/12,0)),2)</f>
        <v>0</v>
      </c>
      <c r="D42" s="3">
        <f>ROUND(IF(A42&lt;Data!$C$28,1,IF(A42=Data!$C$28,(Data!$D$28-1)/12,0)),8)</f>
        <v>0</v>
      </c>
      <c r="E42" s="2">
        <f t="shared" si="3"/>
        <v>393200.28483851807</v>
      </c>
      <c r="F42" s="4" t="e">
        <f t="shared" si="2"/>
        <v>#NUM!</v>
      </c>
      <c r="H42" s="13">
        <v>2026</v>
      </c>
      <c r="I42" s="14">
        <v>3932.22</v>
      </c>
      <c r="J42" s="14">
        <f>+tablemax[[#This Row],[Plafond des PD]]/0.02</f>
        <v>196611</v>
      </c>
    </row>
    <row r="43" spans="1:10" x14ac:dyDescent="0.2">
      <c r="A43">
        <f t="shared" si="1"/>
        <v>2062</v>
      </c>
      <c r="B43" s="2" t="e">
        <f>IFERROR(+VLOOKUP(A43,$L$7:$M$11,2,0),B42*(1+Data!$E$15))</f>
        <v>#VALUE!</v>
      </c>
      <c r="C43" s="2">
        <f>ROUND(IF(A43&lt;Data!$C$28,MIN(B43,E43),IF(A43=Data!$C$28,MIN(B43,E43)*(Data!$D$28-1)/12,0)),2)</f>
        <v>0</v>
      </c>
      <c r="D43" s="3">
        <f>ROUND(IF(A43&lt;Data!$C$28,1,IF(A43=Data!$C$28,(Data!$D$28-1)/12,0)),8)</f>
        <v>0</v>
      </c>
      <c r="E43" s="2">
        <f t="shared" si="3"/>
        <v>401064.29053528846</v>
      </c>
      <c r="F43" s="4" t="e">
        <f t="shared" si="2"/>
        <v>#NUM!</v>
      </c>
    </row>
    <row r="44" spans="1:10" x14ac:dyDescent="0.2">
      <c r="A44">
        <f t="shared" si="1"/>
        <v>2063</v>
      </c>
      <c r="B44" s="2" t="e">
        <f>IFERROR(+VLOOKUP(A44,$L$7:$M$11,2,0),B43*(1+Data!$E$15))</f>
        <v>#VALUE!</v>
      </c>
      <c r="C44" s="2">
        <f>ROUND(IF(A44&lt;Data!$C$28,MIN(B44,E44),IF(A44=Data!$C$28,MIN(B44,E44)*(Data!$D$28-1)/12,0)),2)</f>
        <v>0</v>
      </c>
      <c r="D44" s="3">
        <f>ROUND(IF(A44&lt;Data!$C$28,1,IF(A44=Data!$C$28,(Data!$D$28-1)/12,0)),8)</f>
        <v>0</v>
      </c>
      <c r="E44" s="2">
        <f>+E43*(1+$E$2)</f>
        <v>409085.57634599425</v>
      </c>
      <c r="F44" s="4" t="e">
        <f t="shared" si="2"/>
        <v>#NUM!</v>
      </c>
    </row>
    <row r="45" spans="1:10" x14ac:dyDescent="0.2">
      <c r="A45">
        <f t="shared" si="1"/>
        <v>2064</v>
      </c>
      <c r="B45" s="2" t="e">
        <f>IFERROR(+VLOOKUP(A45,$L$7:$M$11,2,0),B44*(1+Data!$E$15))</f>
        <v>#VALUE!</v>
      </c>
      <c r="C45" s="2">
        <f>ROUND(IF(A45&lt;Data!$C$28,MIN(B45,E45),IF(A45=Data!$C$28,MIN(B45,E45)*(Data!$D$28-1)/12,0)),2)</f>
        <v>0</v>
      </c>
      <c r="D45" s="3">
        <f>ROUND(IF(A45&lt;Data!$C$28,1,IF(A45=Data!$C$28,(Data!$D$28-1)/12,0)),8)</f>
        <v>0</v>
      </c>
      <c r="E45" s="2">
        <f t="shared" si="3"/>
        <v>417267.28787291417</v>
      </c>
      <c r="F45" s="4" t="e">
        <f t="shared" si="2"/>
        <v>#NUM!</v>
      </c>
    </row>
    <row r="46" spans="1:10" x14ac:dyDescent="0.2">
      <c r="A46">
        <f t="shared" si="1"/>
        <v>2065</v>
      </c>
      <c r="B46" s="2" t="e">
        <f>IFERROR(+VLOOKUP(A46,$L$7:$M$11,2,0),B45*(1+Data!$E$15))</f>
        <v>#VALUE!</v>
      </c>
      <c r="C46" s="2">
        <f>ROUND(IF(A46&lt;Data!$C$28,MIN(B46,E46),IF(A46=Data!$C$28,MIN(B46,E46)*(Data!$D$28-1)/12,0)),2)</f>
        <v>0</v>
      </c>
      <c r="D46" s="3">
        <f>ROUND(IF(A46&lt;Data!$C$28,1,IF(A46=Data!$C$28,(Data!$D$28-1)/12,0)),8)</f>
        <v>0</v>
      </c>
      <c r="E46" s="2">
        <f t="shared" si="3"/>
        <v>425612.63363037247</v>
      </c>
      <c r="F46" s="4" t="e">
        <f t="shared" si="2"/>
        <v>#NUM!</v>
      </c>
    </row>
    <row r="47" spans="1:10" x14ac:dyDescent="0.2">
      <c r="A47">
        <f t="shared" si="1"/>
        <v>2066</v>
      </c>
      <c r="B47" s="2" t="e">
        <f>IFERROR(+VLOOKUP(A47,$L$7:$M$11,2,0),B46*(1+Data!$E$15))</f>
        <v>#VALUE!</v>
      </c>
      <c r="C47" s="2">
        <f>ROUND(IF(A47&lt;Data!$C$28,MIN(B47,E47),IF(A47=Data!$C$28,MIN(B47,E47)*(Data!$D$28-1)/12,0)),2)</f>
        <v>0</v>
      </c>
      <c r="D47" s="3">
        <f>ROUND(IF(A47&lt;Data!$C$28,1,IF(A47=Data!$C$28,(Data!$D$28-1)/12,0)),8)</f>
        <v>0</v>
      </c>
      <c r="E47" s="2">
        <f t="shared" si="3"/>
        <v>434124.8863029799</v>
      </c>
      <c r="F47" s="4" t="e">
        <f t="shared" si="2"/>
        <v>#NUM!</v>
      </c>
    </row>
    <row r="48" spans="1:10" x14ac:dyDescent="0.2">
      <c r="A48">
        <f t="shared" si="1"/>
        <v>2067</v>
      </c>
      <c r="B48" s="2" t="e">
        <f>IFERROR(+VLOOKUP(A48,$L$7:$M$11,2,0),B47*(1+Data!$E$15))</f>
        <v>#VALUE!</v>
      </c>
      <c r="C48" s="2">
        <f>ROUND(IF(A48&lt;Data!$C$28,MIN(B48,E48),IF(A48=Data!$C$28,MIN(B48,E48)*(Data!$D$28-1)/12,0)),2)</f>
        <v>0</v>
      </c>
      <c r="D48" s="3">
        <f>ROUND(IF(A48&lt;Data!$C$28,1,IF(A48=Data!$C$28,(Data!$D$28-1)/12,0)),8)</f>
        <v>0</v>
      </c>
      <c r="E48" s="2">
        <f t="shared" si="3"/>
        <v>442807.38402903947</v>
      </c>
      <c r="F48" s="4" t="e">
        <f t="shared" si="2"/>
        <v>#NUM!</v>
      </c>
    </row>
    <row r="49" spans="1:6" x14ac:dyDescent="0.2">
      <c r="A49">
        <f t="shared" si="1"/>
        <v>2068</v>
      </c>
      <c r="B49" s="2" t="e">
        <f>IFERROR(+VLOOKUP(A49,$L$7:$M$11,2,0),B48*(1+Data!$E$15))</f>
        <v>#VALUE!</v>
      </c>
      <c r="C49" s="2">
        <f>ROUND(IF(A49&lt;Data!$C$28,MIN(B49,E49),IF(A49=Data!$C$28,MIN(B49,E49)*(Data!$D$28-1)/12,0)),2)</f>
        <v>0</v>
      </c>
      <c r="D49" s="3">
        <f>ROUND(IF(A49&lt;Data!$C$28,1,IF(A49=Data!$C$28,(Data!$D$28-1)/12,0)),8)</f>
        <v>0</v>
      </c>
      <c r="E49" s="2">
        <f t="shared" si="3"/>
        <v>451663.53170962026</v>
      </c>
      <c r="F49" s="4" t="e">
        <f t="shared" si="2"/>
        <v>#NUM!</v>
      </c>
    </row>
    <row r="50" spans="1:6" x14ac:dyDescent="0.2">
      <c r="A50">
        <f t="shared" si="1"/>
        <v>2069</v>
      </c>
      <c r="B50" s="2" t="e">
        <f>IFERROR(+VLOOKUP(A50,$L$7:$M$11,2,0),B49*(1+Data!$E$15))</f>
        <v>#VALUE!</v>
      </c>
      <c r="C50" s="2">
        <f>ROUND(IF(A50&lt;Data!$C$28,MIN(B50,E50),IF(A50=Data!$C$28,MIN(B50,E50)*(Data!$D$28-1)/12,0)),2)</f>
        <v>0</v>
      </c>
      <c r="D50" s="3">
        <f>ROUND(IF(A50&lt;Data!$C$28,1,IF(A50=Data!$C$28,(Data!$D$28-1)/12,0)),8)</f>
        <v>0</v>
      </c>
      <c r="E50" s="2">
        <f t="shared" si="3"/>
        <v>460696.80234381265</v>
      </c>
      <c r="F50" s="4" t="e">
        <f t="shared" si="2"/>
        <v>#NUM!</v>
      </c>
    </row>
    <row r="51" spans="1:6" x14ac:dyDescent="0.2">
      <c r="A51">
        <f t="shared" si="1"/>
        <v>2070</v>
      </c>
      <c r="B51" s="2" t="e">
        <f>IFERROR(+VLOOKUP(A51,$L$7:$M$11,2,0),B50*(1+Data!$E$15))</f>
        <v>#VALUE!</v>
      </c>
      <c r="C51" s="2">
        <f>ROUND(IF(A51&lt;Data!$C$28,MIN(B51,E51),IF(A51=Data!$C$28,MIN(B51,E51)*(Data!$D$28-1)/12,0)),2)</f>
        <v>0</v>
      </c>
      <c r="D51" s="3">
        <f>ROUND(IF(A51&lt;Data!$C$28,1,IF(A51=Data!$C$28,(Data!$D$28-1)/12,0)),8)</f>
        <v>0</v>
      </c>
      <c r="E51" s="2">
        <f t="shared" si="3"/>
        <v>469910.7383906889</v>
      </c>
      <c r="F51" s="4" t="e">
        <f t="shared" si="2"/>
        <v>#NUM!</v>
      </c>
    </row>
    <row r="52" spans="1:6" x14ac:dyDescent="0.2">
      <c r="A52">
        <f t="shared" si="1"/>
        <v>2071</v>
      </c>
      <c r="B52" s="2" t="e">
        <f>IFERROR(+VLOOKUP(A52,$L$7:$M$11,2,0),B51*(1+Data!$E$15))</f>
        <v>#VALUE!</v>
      </c>
      <c r="C52" s="2">
        <f>ROUND(IF(A52&lt;Data!$C$28,MIN(B52,E52),IF(A52=Data!$C$28,MIN(B52,E52)*(Data!$D$28-1)/12,0)),2)</f>
        <v>0</v>
      </c>
      <c r="D52" s="3">
        <f>ROUND(IF(A52&lt;Data!$C$28,1,IF(A52=Data!$C$28,(Data!$D$28-1)/12,0)),8)</f>
        <v>0</v>
      </c>
      <c r="E52" s="2">
        <f t="shared" si="3"/>
        <v>479308.9531585027</v>
      </c>
      <c r="F52" s="4" t="e">
        <f t="shared" si="2"/>
        <v>#NUM!</v>
      </c>
    </row>
    <row r="53" spans="1:6" x14ac:dyDescent="0.2">
      <c r="A53">
        <f t="shared" si="1"/>
        <v>2072</v>
      </c>
      <c r="B53" s="2" t="e">
        <f>IFERROR(+VLOOKUP(A53,$L$7:$M$11,2,0),B52*(1+Data!$E$15))</f>
        <v>#VALUE!</v>
      </c>
      <c r="C53" s="2">
        <f>ROUND(IF(A53&lt;Data!$C$28,MIN(B53,E53),IF(A53=Data!$C$28,MIN(B53,E53)*(Data!$D$28-1)/12,0)),2)</f>
        <v>0</v>
      </c>
      <c r="D53" s="3">
        <f>ROUND(IF(A53&lt;Data!$C$28,1,IF(A53=Data!$C$28,(Data!$D$28-1)/12,0)),8)</f>
        <v>0</v>
      </c>
      <c r="E53" s="2">
        <f t="shared" si="3"/>
        <v>488895.13222167274</v>
      </c>
      <c r="F53" s="4" t="e">
        <f t="shared" si="2"/>
        <v>#NUM!</v>
      </c>
    </row>
    <row r="54" spans="1:6" x14ac:dyDescent="0.2">
      <c r="A54">
        <f t="shared" si="1"/>
        <v>2073</v>
      </c>
      <c r="B54" s="2" t="e">
        <f>IFERROR(+VLOOKUP(A54,$L$7:$M$11,2,0),B53*(1+Data!$E$15))</f>
        <v>#VALUE!</v>
      </c>
      <c r="C54" s="2">
        <f>ROUND(IF(A54&lt;Data!$C$28,MIN(B54,E54),IF(A54=Data!$C$28,MIN(B54,E54)*(Data!$D$28-1)/12,0)),2)</f>
        <v>0</v>
      </c>
      <c r="D54" s="3">
        <f>ROUND(IF(A54&lt;Data!$C$28,1,IF(A54=Data!$C$28,(Data!$D$28-1)/12,0)),8)</f>
        <v>0</v>
      </c>
      <c r="E54" s="2">
        <f t="shared" si="3"/>
        <v>498673.03486610623</v>
      </c>
      <c r="F54" s="4" t="e">
        <f t="shared" si="2"/>
        <v>#NUM!</v>
      </c>
    </row>
    <row r="55" spans="1:6" x14ac:dyDescent="0.2">
      <c r="A55">
        <f t="shared" si="1"/>
        <v>2074</v>
      </c>
      <c r="B55" s="2" t="e">
        <f>IFERROR(+VLOOKUP(A55,$L$7:$M$11,2,0),B54*(1+Data!$E$15))</f>
        <v>#VALUE!</v>
      </c>
      <c r="C55" s="2">
        <f>ROUND(IF(A55&lt;Data!$C$28,MIN(B55,E55),IF(A55=Data!$C$28,MIN(B55,E55)*(Data!$D$28-1)/12,0)),2)</f>
        <v>0</v>
      </c>
      <c r="D55" s="3">
        <f>ROUND(IF(A55&lt;Data!$C$28,1,IF(A55=Data!$C$28,(Data!$D$28-1)/12,0)),8)</f>
        <v>0</v>
      </c>
      <c r="E55" s="2">
        <f t="shared" si="3"/>
        <v>508646.49556342838</v>
      </c>
      <c r="F55" s="4" t="e">
        <f t="shared" si="2"/>
        <v>#NUM!</v>
      </c>
    </row>
  </sheetData>
  <protectedRanges>
    <protectedRange password="A4FF" sqref="M11" name="Range1"/>
    <protectedRange password="A4FF" sqref="M7:M10" name="Range1_1"/>
  </protectedRanges>
  <phoneticPr fontId="2" type="noConversion"/>
  <dataValidations disablePrompts="1" count="1">
    <dataValidation allowBlank="1" sqref="L7:M11" xr:uid="{00000000-0002-0000-0100-000000000000}"/>
  </dataValidations>
  <hyperlinks>
    <hyperlink ref="H3" r:id="rId1" xr:uid="{00000000-0004-0000-0100-000000000000}"/>
  </hyperlinks>
  <printOptions horizontalCentered="1"/>
  <pageMargins left="0.75" right="0.75" top="1" bottom="1" header="0.5" footer="0.5"/>
  <pageSetup orientation="portrait" r:id="rId2"/>
  <headerFooter alignWithMargins="0">
    <oddFooter>&amp;L&amp;D&amp;R&amp;Z&amp;F</oddFooter>
  </headerFooter>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vt:lpstr>
      <vt:lpstr>Calculatrice</vt:lpstr>
      <vt:lpstr>Data!Print_Area</vt:lpstr>
    </vt:vector>
  </TitlesOfParts>
  <Manager/>
  <Company>Assomption Vie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nathalie.joseph</dc:creator>
  <cp:keywords/>
  <dc:description/>
  <cp:lastModifiedBy>Stéphanie LeBlanc</cp:lastModifiedBy>
  <cp:revision/>
  <dcterms:created xsi:type="dcterms:W3CDTF">2009-04-08T12:38:10Z</dcterms:created>
  <dcterms:modified xsi:type="dcterms:W3CDTF">2026-08-27T12:41:22Z</dcterms:modified>
  <cp:category/>
  <cp:contentStatus/>
</cp:coreProperties>
</file>