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ThisWorkbook" defaultThemeVersion="124226"/>
  <mc:AlternateContent xmlns:mc="http://schemas.openxmlformats.org/markup-compatibility/2006">
    <mc:Choice Requires="x15">
      <x15ac:absPath xmlns:x15ac="http://schemas.microsoft.com/office/spreadsheetml/2010/11/ac" url="W:\Régimes DB (actifs)\UMoncton\Calculatrices\"/>
    </mc:Choice>
  </mc:AlternateContent>
  <xr:revisionPtr revIDLastSave="0" documentId="13_ncr:1_{F9FFB5C8-7144-43FE-B305-546D0F367342}" xr6:coauthVersionLast="47" xr6:coauthVersionMax="47" xr10:uidLastSave="{00000000-0000-0000-0000-000000000000}"/>
  <workbookProtection workbookAlgorithmName="SHA-512" workbookHashValue="bpAe8pHOUCgeTKc1DamKL5+lKRaZriZ7OzD4+g7k5WZeySb2v0fbGAjbjwEEYKDGFl3a4C1xmy+biyU7G0GMEQ==" workbookSaltValue="0sM5/fiyonP+Ttdfkj0lcw==" workbookSpinCount="100000" lockStructure="1"/>
  <bookViews>
    <workbookView xWindow="20370" yWindow="-120" windowWidth="19440" windowHeight="15000" xr2:uid="{00000000-000D-0000-FFFF-FFFF00000000}"/>
  </bookViews>
  <sheets>
    <sheet name="Data" sheetId="4" r:id="rId1"/>
    <sheet name="Calculatrice" sheetId="3" state="hidden" r:id="rId2"/>
  </sheets>
  <definedNames>
    <definedName name="_xlnm.Print_Area" localSheetId="0">Data!$A$1:$I$79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5" i="4" l="1"/>
  <c r="A3" i="4"/>
  <c r="J42" i="3"/>
  <c r="H22" i="4"/>
  <c r="B71" i="4"/>
  <c r="B33" i="4" l="1"/>
  <c r="J41" i="3"/>
  <c r="E93" i="4" l="1"/>
  <c r="E65" i="4" l="1"/>
  <c r="E55" i="4"/>
  <c r="B61" i="4" l="1"/>
  <c r="E45" i="4"/>
  <c r="O28" i="4"/>
  <c r="B19" i="4" l="1"/>
  <c r="M18" i="3" l="1"/>
  <c r="M17" i="3" l="1"/>
  <c r="B30" i="4" l="1"/>
  <c r="B31" i="4" s="1"/>
  <c r="U6" i="4"/>
  <c r="M11" i="3" s="1"/>
  <c r="U5" i="4"/>
  <c r="T5" i="4"/>
  <c r="T6" i="4"/>
  <c r="L11" i="3" s="1"/>
  <c r="L10" i="3" s="1"/>
  <c r="L9" i="3" s="1"/>
  <c r="L8" i="3" s="1"/>
  <c r="Q6" i="4"/>
  <c r="O6" i="4"/>
  <c r="O7" i="4" s="1"/>
  <c r="O8" i="4" s="1"/>
  <c r="O9" i="4" s="1"/>
  <c r="O10" i="4" s="1"/>
  <c r="O11" i="4" s="1"/>
  <c r="Q7" i="4" l="1"/>
  <c r="Q8" i="4" s="1"/>
  <c r="Q9" i="4" s="1"/>
  <c r="Q10" i="4" s="1"/>
  <c r="Q11" i="4" s="1"/>
  <c r="Q12" i="4" s="1"/>
  <c r="Q13" i="4" s="1"/>
  <c r="Q14" i="4" s="1"/>
  <c r="Q15" i="4" s="1"/>
  <c r="Q16" i="4" s="1"/>
  <c r="B37" i="4"/>
  <c r="B70" i="4"/>
  <c r="B68" i="4"/>
  <c r="B72" i="4"/>
  <c r="L7" i="3"/>
  <c r="U7" i="4"/>
  <c r="O13" i="4"/>
  <c r="O14" i="4" s="1"/>
  <c r="O12" i="4"/>
  <c r="O15" i="4" s="1"/>
  <c r="O16" i="4" s="1"/>
  <c r="O17" i="4" s="1"/>
  <c r="O18" i="4" s="1"/>
  <c r="O19" i="4" s="1"/>
  <c r="O20" i="4" s="1"/>
  <c r="O21" i="4" s="1"/>
  <c r="O22" i="4" s="1"/>
  <c r="O23" i="4" s="1"/>
  <c r="M10" i="3" l="1"/>
  <c r="J40" i="3"/>
  <c r="M9" i="3" l="1"/>
  <c r="M8" i="3" s="1"/>
  <c r="M7" i="3" s="1"/>
  <c r="J39" i="3"/>
  <c r="A4" i="3"/>
  <c r="F4" i="3" s="1"/>
  <c r="B4" i="3" l="1"/>
  <c r="J38" i="3"/>
  <c r="J37" i="3" l="1"/>
  <c r="J36" i="3" l="1"/>
  <c r="J35" i="3" l="1"/>
  <c r="J34" i="3"/>
  <c r="J32" i="3"/>
  <c r="J31" i="3"/>
  <c r="J30" i="3"/>
  <c r="J33" i="3"/>
  <c r="J6" i="3" l="1"/>
  <c r="J7" i="3"/>
  <c r="J8" i="3"/>
  <c r="J9" i="3"/>
  <c r="J10" i="3"/>
  <c r="J11" i="3"/>
  <c r="J12" i="3"/>
  <c r="J13" i="3"/>
  <c r="J14" i="3"/>
  <c r="J15" i="3"/>
  <c r="J16" i="3"/>
  <c r="J17" i="3"/>
  <c r="J18" i="3"/>
  <c r="J19" i="3"/>
  <c r="J20" i="3"/>
  <c r="J21" i="3"/>
  <c r="J22" i="3"/>
  <c r="J23" i="3"/>
  <c r="J24" i="3"/>
  <c r="J25" i="3"/>
  <c r="J26" i="3"/>
  <c r="J27" i="3"/>
  <c r="J28" i="3"/>
  <c r="J29" i="3"/>
  <c r="E42" i="4" l="1"/>
  <c r="B41" i="4"/>
  <c r="B51" i="4" l="1"/>
  <c r="E2" i="3" l="1"/>
  <c r="E26" i="4"/>
  <c r="D26" i="4"/>
  <c r="F35" i="4" l="1"/>
  <c r="E52" i="4" l="1"/>
  <c r="E62" i="4"/>
  <c r="E4" i="3"/>
  <c r="A5" i="3"/>
  <c r="F5" i="3" s="1"/>
  <c r="E5" i="3" l="1"/>
  <c r="B5" i="3"/>
  <c r="B6" i="3" s="1"/>
  <c r="A6" i="3"/>
  <c r="F6" i="3" s="1"/>
  <c r="E6" i="3" l="1"/>
  <c r="A7" i="3"/>
  <c r="F7" i="3" l="1"/>
  <c r="E7" i="3"/>
  <c r="B7" i="3"/>
  <c r="B8" i="3" s="1"/>
  <c r="A8" i="3"/>
  <c r="F8" i="3" s="1"/>
  <c r="E8" i="3" l="1"/>
  <c r="E9" i="3" s="1"/>
  <c r="A9" i="3"/>
  <c r="B9" i="3" s="1"/>
  <c r="A10" i="3" l="1"/>
  <c r="B10" i="3" s="1"/>
  <c r="F9" i="3"/>
  <c r="A11" i="3" l="1"/>
  <c r="B11" i="3" s="1"/>
  <c r="F10" i="3"/>
  <c r="E10" i="3"/>
  <c r="E11" i="3" s="1"/>
  <c r="A12" i="3" l="1"/>
  <c r="B12" i="3" s="1"/>
  <c r="F11" i="3"/>
  <c r="A13" i="3" l="1"/>
  <c r="B13" i="3" s="1"/>
  <c r="F12" i="3"/>
  <c r="E12" i="3"/>
  <c r="E13" i="3" s="1"/>
  <c r="A14" i="3" l="1"/>
  <c r="B14" i="3" s="1"/>
  <c r="F13" i="3"/>
  <c r="A15" i="3" l="1"/>
  <c r="B15" i="3" s="1"/>
  <c r="F14" i="3"/>
  <c r="E14" i="3"/>
  <c r="E15" i="3" l="1"/>
  <c r="A16" i="3"/>
  <c r="B16" i="3" s="1"/>
  <c r="F15" i="3"/>
  <c r="A17" i="3" l="1"/>
  <c r="F16" i="3"/>
  <c r="E16" i="3"/>
  <c r="E17" i="3" l="1"/>
  <c r="B17" i="3"/>
  <c r="A18" i="3"/>
  <c r="F17" i="3"/>
  <c r="B18" i="3" l="1"/>
  <c r="A19" i="3"/>
  <c r="F18" i="3"/>
  <c r="E18" i="3"/>
  <c r="E19" i="3" s="1"/>
  <c r="B19" i="3" l="1"/>
  <c r="A20" i="3"/>
  <c r="F19" i="3"/>
  <c r="B20" i="3" l="1"/>
  <c r="A21" i="3"/>
  <c r="F20" i="3"/>
  <c r="E20" i="3"/>
  <c r="E21" i="3" s="1"/>
  <c r="B21" i="3" l="1"/>
  <c r="A22" i="3"/>
  <c r="F21" i="3"/>
  <c r="B22" i="3" l="1"/>
  <c r="A23" i="3"/>
  <c r="F22" i="3"/>
  <c r="E22" i="3"/>
  <c r="B23" i="3" l="1"/>
  <c r="A24" i="3"/>
  <c r="F23" i="3"/>
  <c r="E23" i="3"/>
  <c r="E24" i="3" s="1"/>
  <c r="B24" i="3" l="1"/>
  <c r="A25" i="3"/>
  <c r="F24" i="3"/>
  <c r="B25" i="3" l="1"/>
  <c r="A26" i="3"/>
  <c r="F25" i="3"/>
  <c r="E25" i="3"/>
  <c r="B26" i="3" l="1"/>
  <c r="E26" i="3"/>
  <c r="A27" i="3"/>
  <c r="F26" i="3"/>
  <c r="B27" i="3" l="1"/>
  <c r="A28" i="3"/>
  <c r="F27" i="3"/>
  <c r="E27" i="3"/>
  <c r="B28" i="3" l="1"/>
  <c r="E28" i="3"/>
  <c r="A29" i="3"/>
  <c r="F28" i="3"/>
  <c r="B29" i="3" l="1"/>
  <c r="A30" i="3"/>
  <c r="F29" i="3"/>
  <c r="E29" i="3"/>
  <c r="E30" i="3" s="1"/>
  <c r="B30" i="3" l="1"/>
  <c r="A31" i="3"/>
  <c r="F30" i="3"/>
  <c r="B31" i="3" l="1"/>
  <c r="A32" i="3"/>
  <c r="F31" i="3"/>
  <c r="E31" i="3"/>
  <c r="E32" i="3" s="1"/>
  <c r="B32" i="3" l="1"/>
  <c r="A33" i="3"/>
  <c r="F32" i="3"/>
  <c r="B33" i="3" l="1"/>
  <c r="A34" i="3"/>
  <c r="F33" i="3"/>
  <c r="E33" i="3"/>
  <c r="B34" i="3" l="1"/>
  <c r="E34" i="3"/>
  <c r="A35" i="3"/>
  <c r="F34" i="3"/>
  <c r="B35" i="3" l="1"/>
  <c r="A36" i="3"/>
  <c r="F35" i="3"/>
  <c r="E35" i="3"/>
  <c r="E36" i="3" l="1"/>
  <c r="M21" i="3"/>
  <c r="B36" i="3"/>
  <c r="A37" i="3"/>
  <c r="F36" i="3"/>
  <c r="B37" i="3" l="1"/>
  <c r="A38" i="3"/>
  <c r="F37" i="3"/>
  <c r="E37" i="3"/>
  <c r="E38" i="3" s="1"/>
  <c r="B38" i="3" l="1"/>
  <c r="A39" i="3"/>
  <c r="F38" i="3"/>
  <c r="B39" i="3" l="1"/>
  <c r="A40" i="3"/>
  <c r="F39" i="3"/>
  <c r="E39" i="3"/>
  <c r="B40" i="3" l="1"/>
  <c r="E40" i="3"/>
  <c r="A41" i="3"/>
  <c r="F40" i="3"/>
  <c r="B41" i="3" l="1"/>
  <c r="A42" i="3"/>
  <c r="F41" i="3"/>
  <c r="E41" i="3"/>
  <c r="E42" i="3" s="1"/>
  <c r="B42" i="3" l="1"/>
  <c r="A43" i="3"/>
  <c r="F42" i="3"/>
  <c r="B43" i="3" l="1"/>
  <c r="A44" i="3"/>
  <c r="F43" i="3"/>
  <c r="E43" i="3"/>
  <c r="E44" i="3" s="1"/>
  <c r="B44" i="3" l="1"/>
  <c r="A45" i="3"/>
  <c r="F44" i="3"/>
  <c r="B45" i="3" l="1"/>
  <c r="A46" i="3"/>
  <c r="F45" i="3"/>
  <c r="E45" i="3"/>
  <c r="E46" i="3" s="1"/>
  <c r="B46" i="3" l="1"/>
  <c r="A47" i="3"/>
  <c r="F46" i="3"/>
  <c r="B47" i="3" l="1"/>
  <c r="A48" i="3"/>
  <c r="F47" i="3"/>
  <c r="E47" i="3"/>
  <c r="E48" i="3" s="1"/>
  <c r="B48" i="3" l="1"/>
  <c r="A49" i="3"/>
  <c r="F48" i="3"/>
  <c r="B49" i="3" l="1"/>
  <c r="A50" i="3"/>
  <c r="F49" i="3"/>
  <c r="E49" i="3"/>
  <c r="E50" i="3" s="1"/>
  <c r="B50" i="3" l="1"/>
  <c r="A51" i="3"/>
  <c r="F50" i="3"/>
  <c r="B51" i="3" l="1"/>
  <c r="A52" i="3"/>
  <c r="F51" i="3"/>
  <c r="E51" i="3"/>
  <c r="E52" i="3" s="1"/>
  <c r="B52" i="3" l="1"/>
  <c r="A53" i="3"/>
  <c r="F52" i="3"/>
  <c r="B53" i="3" l="1"/>
  <c r="A54" i="3"/>
  <c r="B54" i="3" s="1"/>
  <c r="F53" i="3"/>
  <c r="E53" i="3"/>
  <c r="E54" i="3" s="1"/>
  <c r="A55" i="3" l="1"/>
  <c r="F54" i="3"/>
  <c r="F55" i="3" l="1"/>
  <c r="B55" i="3"/>
  <c r="E55" i="3"/>
  <c r="M20" i="3" l="1"/>
  <c r="D87" i="4" s="1"/>
  <c r="E66" i="4" l="1"/>
  <c r="E87" i="4"/>
  <c r="E56" i="4"/>
  <c r="F66" i="4" l="1"/>
  <c r="E89" i="4"/>
  <c r="E41" i="4" s="1"/>
  <c r="E43" i="4" s="1"/>
  <c r="F47" i="4" s="1"/>
  <c r="E46" i="4"/>
  <c r="E91" i="4"/>
  <c r="E61" i="4" s="1"/>
  <c r="E63" i="4" s="1"/>
  <c r="F67" i="4" s="1"/>
  <c r="F70" i="4" s="1"/>
  <c r="F56" i="4"/>
  <c r="E90" i="4"/>
  <c r="E51" i="4" s="1"/>
  <c r="E53" i="4" s="1"/>
  <c r="F57" i="4" l="1"/>
  <c r="F68" i="4" s="1"/>
  <c r="F72" i="4" s="1"/>
  <c r="E73" i="4"/>
</calcChain>
</file>

<file path=xl/sharedStrings.xml><?xml version="1.0" encoding="utf-8"?>
<sst xmlns="http://schemas.openxmlformats.org/spreadsheetml/2006/main" count="104" uniqueCount="90">
  <si>
    <t>Mois</t>
  </si>
  <si>
    <t>Année</t>
  </si>
  <si>
    <t>Salaire pour calcul</t>
  </si>
  <si>
    <t>max impôt</t>
  </si>
  <si>
    <t>Salaire carrière</t>
  </si>
  <si>
    <t>Salaire moyen final 3 ans à la date de retraite prévue:</t>
  </si>
  <si>
    <t>Rente pour service &lt; 2013</t>
  </si>
  <si>
    <t>Rente pour service avant 2014:</t>
  </si>
  <si>
    <t>limit</t>
  </si>
  <si>
    <t>Jour</t>
  </si>
  <si>
    <t>Salaire annuel</t>
  </si>
  <si>
    <t>Nom :</t>
  </si>
  <si>
    <t>Date de retraite désirée:</t>
  </si>
  <si>
    <t>avec règle de 90</t>
  </si>
  <si>
    <t>sans règle de 90</t>
  </si>
  <si>
    <t>(AAAA)</t>
  </si>
  <si>
    <t>(MM)</t>
  </si>
  <si>
    <t>Moyenne salariale - 3 meilleures années (plafond salarial 86 111 $)</t>
  </si>
  <si>
    <t>Pourcentage annuel d'augmentation  salariale future</t>
  </si>
  <si>
    <t>Nombre d'années de  service créditées avant 2014</t>
  </si>
  <si>
    <t># mois pour atteindre la retraite désirée versus la date de retraite normale                                                                            ( Utilisé pour le calcul de la pénalité)</t>
  </si>
  <si>
    <t>Moyenne salariale - 3 meilleures années (sujet à la limite prescrite)</t>
  </si>
  <si>
    <t xml:space="preserve">Limite </t>
  </si>
  <si>
    <t>Réduction %</t>
  </si>
  <si>
    <t>Réduction $</t>
  </si>
  <si>
    <t>Estimation de prestation annuelle à la retraite</t>
  </si>
  <si>
    <t>Prestation accumulée jusqu'au 31 décembre 2013</t>
  </si>
  <si>
    <t>Prestation accumulée à partir de janvier 2014</t>
  </si>
  <si>
    <t>https://www.canada.ca/en/revenue-agency/services/tax/registered-plans-administrators/pspa/mp-rrsp-dpsp-tfsa-limits-ympe.html</t>
  </si>
  <si>
    <t>Plafond des PD</t>
  </si>
  <si>
    <t>Salaire max</t>
  </si>
  <si>
    <t>Les renseignements et la calculatrice interactive vous sont offerts en tant qu'outils libre-service pour votre usage personnel. L’information présentée ou y figurant est de nature générale et est mise à votre disposition à titre d’information générale seulement et « telle quelle », sans aucune garantie notamment au niveau de son exactitude ou de sa caducité. Cette information ne doit pas être interprétée comme constituant un ou des conseils ou avis professionnel. Si vous avez besoin de conseils particuliers, veuillez consulter un professionnel qualifié dans ce domaine. Pour de l’information générale, vous pouvez vous adresser au service des ressources humaines de l’Université.</t>
  </si>
  <si>
    <t>Avis :</t>
  </si>
  <si>
    <t>janvier</t>
  </si>
  <si>
    <t>février</t>
  </si>
  <si>
    <t>mars</t>
  </si>
  <si>
    <t>avril</t>
  </si>
  <si>
    <t>août</t>
  </si>
  <si>
    <t>septembre</t>
  </si>
  <si>
    <t>octobre</t>
  </si>
  <si>
    <t>novembre</t>
  </si>
  <si>
    <t>décembre</t>
  </si>
  <si>
    <t>Indiquer l’augmentation future annuelle que vous prévoyez pour votre salaire. Si vous ne savez pas ou que vous pensez que votre salaire n’augmentera pas, indiquez 0.00%.</t>
  </si>
  <si>
    <r>
      <t>Date à l'âge 65 ans</t>
    </r>
    <r>
      <rPr>
        <sz val="11"/>
        <rFont val="Arial"/>
        <family val="2"/>
      </rPr>
      <t xml:space="preserve"> (1</t>
    </r>
    <r>
      <rPr>
        <vertAlign val="superscript"/>
        <sz val="11"/>
        <rFont val="Arial"/>
        <family val="2"/>
      </rPr>
      <t>er</t>
    </r>
    <r>
      <rPr>
        <sz val="11"/>
        <rFont val="Arial"/>
        <family val="2"/>
      </rPr>
      <t xml:space="preserve"> du mois suivant, services après 2014)</t>
    </r>
  </si>
  <si>
    <r>
      <t xml:space="preserve">Date de retraite normale: </t>
    </r>
    <r>
      <rPr>
        <sz val="11"/>
        <rFont val="Arial"/>
        <family val="2"/>
      </rPr>
      <t>(services avant 2014 si applicable)</t>
    </r>
  </si>
  <si>
    <t>Régime de pension des professeures, professeurs et bibliothécaires de l'Université de Moncton</t>
  </si>
  <si>
    <r>
      <t>Montant  total de la réduction :</t>
    </r>
    <r>
      <rPr>
        <b/>
        <sz val="10"/>
        <color rgb="FFFF0000"/>
        <rFont val="Arial"/>
        <family val="2"/>
      </rPr>
      <t xml:space="preserve"> (déjà réduit du montant de la prestation estimée)</t>
    </r>
  </si>
  <si>
    <t>Date d'adhésion au régime :</t>
  </si>
  <si>
    <t>Date de naissance :</t>
  </si>
  <si>
    <t>Date du relevé utilisé :</t>
  </si>
  <si>
    <t>Show, tout voir : Hide, pour client</t>
  </si>
  <si>
    <t>Indexation disponible</t>
  </si>
  <si>
    <t>Équivalent</t>
  </si>
  <si>
    <t>mai</t>
  </si>
  <si>
    <t>juin</t>
  </si>
  <si>
    <t>juillet</t>
  </si>
  <si>
    <t>Date actuelle :</t>
  </si>
  <si>
    <t>Salaire</t>
  </si>
  <si>
    <t>Estimation annuelle</t>
  </si>
  <si>
    <t>Salaire annuel actuel :</t>
  </si>
  <si>
    <t>(selon la page couverture de votre relevé)</t>
  </si>
  <si>
    <t>Pour calcul moyenne 3 années</t>
  </si>
  <si>
    <t>Date début salaire final</t>
  </si>
  <si>
    <t>Date de retraite</t>
  </si>
  <si>
    <t>Salaire moyen final</t>
  </si>
  <si>
    <t>Salaire max possible</t>
  </si>
  <si>
    <t>Depuis 2025
(avec indexation)</t>
  </si>
  <si>
    <t>Rente pour service 2014 à 2024:</t>
  </si>
  <si>
    <t>Rente pour service depuis 2025:</t>
  </si>
  <si>
    <t>Calcul de vos acquis de pension à partir du 1er janvier 2025  (après l'actualisation du régime)</t>
  </si>
  <si>
    <t>Prestation accumulée à partir de janvier 2025</t>
  </si>
  <si>
    <t>Nombre d'années de service créditées entre 2014 et 2024</t>
  </si>
  <si>
    <t>Nombre d'années de service créditées à partir de 2025</t>
  </si>
  <si>
    <t>(sans indexation)</t>
  </si>
  <si>
    <t>date de retraite</t>
  </si>
  <si>
    <t>Calcul de vos acquis de pension jusqu'au 31 décembre 2013  ( avant l'actualisation du régime)</t>
  </si>
  <si>
    <t>Calcul de vos acquis de pension du 1er janvier 2014  au 31 décembre 2024 (après l'actualisation du régime)</t>
  </si>
  <si>
    <t>Avant 1992</t>
  </si>
  <si>
    <t xml:space="preserve"> Rachat Avant 1992</t>
  </si>
  <si>
    <t>Depuis 1992</t>
  </si>
  <si>
    <t xml:space="preserve"> Rachat Depuis 1992</t>
  </si>
  <si>
    <t>Depuis 2014</t>
  </si>
  <si>
    <t>Attention : Le % d'augmentation salarial indiqué influencera le montant futur de vos prestations.</t>
  </si>
  <si>
    <t>*Indexation :</t>
  </si>
  <si>
    <r>
      <t>Commençant le 1</t>
    </r>
    <r>
      <rPr>
        <vertAlign val="superscript"/>
        <sz val="11"/>
        <color theme="1"/>
        <rFont val="Arial"/>
        <family val="2"/>
      </rPr>
      <t>er</t>
    </r>
    <r>
      <rPr>
        <sz val="11"/>
        <color theme="1"/>
        <rFont val="Arial"/>
        <family val="2"/>
      </rPr>
      <t xml:space="preserve"> janvier de l'année qui suit l'année au cours de laquelle les prestations de pension ont commencé à être versées, la prestation de pension sera augmentée annuellement en proportion de la moyenne annuelle de l'Indice canadien des prix à la consommation mensuel pour la période de douze mois se terminant le 31 octobre divisée par la moyenne annuelle de l'Indice canadien des prix à la consommation mensuel pour la période de douze mois se terminant le 31 octobre de l'année précédente. L'augmentation est limitée à 5% par an. Si les versements de la rente du participant ou de la participante ont débuté dans l'année qui précède l'année de l'ajustement, le ratio d'indexation s'applique au prorate du nombre de mois écoulés entre le début des versements et le 1</t>
    </r>
    <r>
      <rPr>
        <vertAlign val="superscript"/>
        <sz val="11"/>
        <color theme="1"/>
        <rFont val="Arial"/>
        <family val="2"/>
      </rPr>
      <t>er</t>
    </r>
    <r>
      <rPr>
        <sz val="11"/>
        <color theme="1"/>
        <rFont val="Arial"/>
        <family val="2"/>
      </rPr>
      <t xml:space="preserve"> janvier qui suit.</t>
    </r>
  </si>
  <si>
    <t>Total</t>
  </si>
  <si>
    <t>(selon le relevé de pension - p.3)</t>
  </si>
  <si>
    <t>Salaire annuel moyen utilisé pour le calcul de votre prestation :</t>
  </si>
  <si>
    <t>Hide</t>
  </si>
  <si>
    <t>(selon le relevé de pension - p.2)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</si>
</sst>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7" formatCode="&quot;$&quot;#,##0.00_);\(&quot;$&quot;#,##0.00\)"/>
    <numFmt numFmtId="44" formatCode="_(&quot;$&quot;* #,##0.00_);_(&quot;$&quot;* \(#,##0.00\);_(&quot;$&quot;* &quot;-&quot;??_);_(@_)"/>
    <numFmt numFmtId="164" formatCode="&quot;$&quot;#,##0.00;[Red]\-&quot;$&quot;#,##0.00"/>
    <numFmt numFmtId="165" formatCode="[$-C0C]d\ mmm\ yyyy;@"/>
    <numFmt numFmtId="166" formatCode="&quot;$&quot;#,##0.00"/>
    <numFmt numFmtId="167" formatCode="General_)"/>
    <numFmt numFmtId="168" formatCode="[$-F800]dddd\,\ mmmm\ dd\,\ yyyy"/>
    <numFmt numFmtId="169" formatCode="#,##0\ &quot;$&quot;"/>
    <numFmt numFmtId="170" formatCode="0.0000"/>
    <numFmt numFmtId="171" formatCode="[$-C0C]mmmm"/>
    <numFmt numFmtId="172" formatCode="#,##0\ &quot;$&quot;_);\(#,##0\ &quot;$&quot;\)"/>
    <numFmt numFmtId="173" formatCode="#,##0.00\ [$$-C0C]_);\(#,##0.00\ [$$-C0C]\)"/>
  </numFmts>
  <fonts count="36" x14ac:knownFonts="1">
    <font>
      <sz val="10"/>
      <name val="Arial"/>
    </font>
    <font>
      <sz val="10"/>
      <name val="Arial"/>
      <family val="2"/>
    </font>
    <font>
      <sz val="8"/>
      <name val="Arial"/>
      <family val="2"/>
    </font>
    <font>
      <sz val="10"/>
      <color indexed="12"/>
      <name val="Arial"/>
      <family val="2"/>
    </font>
    <font>
      <b/>
      <sz val="12"/>
      <name val="Arial"/>
      <family val="2"/>
    </font>
    <font>
      <b/>
      <sz val="11"/>
      <color indexed="8"/>
      <name val="Arial"/>
      <family val="2"/>
    </font>
    <font>
      <sz val="11"/>
      <color indexed="8"/>
      <name val="Arial"/>
      <family val="2"/>
    </font>
    <font>
      <b/>
      <sz val="11"/>
      <name val="Arial"/>
      <family val="2"/>
    </font>
    <font>
      <b/>
      <sz val="16"/>
      <name val="Arial"/>
      <family val="2"/>
    </font>
    <font>
      <sz val="11"/>
      <name val="Arial"/>
      <family val="2"/>
    </font>
    <font>
      <sz val="11"/>
      <color indexed="12"/>
      <name val="Arial"/>
      <family val="2"/>
    </font>
    <font>
      <b/>
      <sz val="16"/>
      <color indexed="8"/>
      <name val="Arial"/>
      <family val="2"/>
    </font>
    <font>
      <b/>
      <sz val="10"/>
      <name val="Arial"/>
      <family val="2"/>
    </font>
    <font>
      <sz val="11"/>
      <color theme="0"/>
      <name val="Arial"/>
      <family val="2"/>
    </font>
    <font>
      <sz val="11"/>
      <color rgb="FF002060"/>
      <name val="Arial"/>
      <family val="2"/>
    </font>
    <font>
      <sz val="11"/>
      <color theme="1"/>
      <name val="Arial"/>
      <family val="2"/>
    </font>
    <font>
      <b/>
      <sz val="14"/>
      <color rgb="FFFF0000"/>
      <name val="Arial"/>
      <family val="2"/>
    </font>
    <font>
      <sz val="10"/>
      <color rgb="FF00B050"/>
      <name val="Arial"/>
      <family val="2"/>
    </font>
    <font>
      <u/>
      <sz val="10"/>
      <color theme="10"/>
      <name val="Arial"/>
      <family val="2"/>
    </font>
    <font>
      <sz val="11"/>
      <color rgb="FFFF0000"/>
      <name val="Arial"/>
      <family val="2"/>
    </font>
    <font>
      <sz val="10"/>
      <color rgb="FF00B050"/>
      <name val="Arial"/>
      <family val="2"/>
    </font>
    <font>
      <sz val="10"/>
      <color rgb="FF00B050"/>
      <name val="Arial"/>
      <family val="2"/>
    </font>
    <font>
      <sz val="10"/>
      <color rgb="FF0070C0"/>
      <name val="Arial"/>
      <family val="2"/>
    </font>
    <font>
      <vertAlign val="superscript"/>
      <sz val="11"/>
      <name val="Arial"/>
      <family val="2"/>
    </font>
    <font>
      <b/>
      <sz val="10"/>
      <color rgb="FFFF0000"/>
      <name val="Arial"/>
      <family val="2"/>
    </font>
    <font>
      <sz val="12"/>
      <color theme="4"/>
      <name val="Arial"/>
      <family val="2"/>
    </font>
    <font>
      <sz val="11"/>
      <color theme="4"/>
      <name val="Arial"/>
      <family val="2"/>
    </font>
    <font>
      <sz val="14"/>
      <color theme="4"/>
      <name val="Arial"/>
      <family val="2"/>
    </font>
    <font>
      <sz val="10"/>
      <name val="Arial"/>
      <family val="2"/>
    </font>
    <font>
      <sz val="11"/>
      <color rgb="FF9C0006"/>
      <name val="Calibri"/>
      <family val="2"/>
      <scheme val="minor"/>
    </font>
    <font>
      <sz val="12"/>
      <name val="Arial"/>
      <family val="2"/>
    </font>
    <font>
      <sz val="16"/>
      <name val="Arial"/>
      <family val="2"/>
    </font>
    <font>
      <sz val="12"/>
      <color indexed="8"/>
      <name val="Arial"/>
      <family val="2"/>
    </font>
    <font>
      <vertAlign val="superscript"/>
      <sz val="11"/>
      <color theme="1"/>
      <name val="Arial"/>
      <family val="2"/>
    </font>
    <font>
      <sz val="12"/>
      <color theme="1"/>
      <name val="Arial"/>
      <family val="2"/>
    </font>
    <font>
      <b/>
      <sz val="14"/>
      <color theme="4"/>
      <name val="Arial"/>
      <family val="2"/>
    </font>
  </fonts>
  <fills count="11">
    <fill>
      <patternFill patternType="none"/>
    </fill>
    <fill>
      <patternFill patternType="gray125"/>
    </fill>
    <fill>
      <patternFill patternType="solid">
        <fgColor rgb="FFFFFF00"/>
        <bgColor indexed="64"/>
      </patternFill>
    </fill>
    <fill>
      <patternFill patternType="solid">
        <fgColor theme="6" tint="0.59999389629810485"/>
        <bgColor indexed="64"/>
      </patternFill>
    </fill>
    <fill>
      <patternFill patternType="solid">
        <fgColor rgb="FFFFFFCC"/>
        <bgColor indexed="64"/>
      </patternFill>
    </fill>
    <fill>
      <patternFill patternType="solid">
        <fgColor theme="6" tint="0.39997558519241921"/>
        <bgColor indexed="64"/>
      </patternFill>
    </fill>
    <fill>
      <patternFill patternType="solid">
        <fgColor theme="0"/>
        <bgColor indexed="64"/>
      </patternFill>
    </fill>
    <fill>
      <patternFill patternType="solid">
        <fgColor rgb="FFFFC7CE"/>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59999389629810485"/>
        <bgColor indexed="64"/>
      </patternFill>
    </fill>
  </fills>
  <borders count="39">
    <border>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bottom style="thin">
        <color indexed="64"/>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medium">
        <color indexed="64"/>
      </right>
      <top style="medium">
        <color indexed="64"/>
      </top>
      <bottom/>
      <diagonal/>
    </border>
    <border>
      <left/>
      <right style="thin">
        <color indexed="64"/>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diagonal/>
    </border>
    <border>
      <left style="medium">
        <color indexed="64"/>
      </left>
      <right style="medium">
        <color indexed="64"/>
      </right>
      <top/>
      <bottom style="thick">
        <color indexed="64"/>
      </bottom>
      <diagonal/>
    </border>
    <border>
      <left style="medium">
        <color indexed="64"/>
      </left>
      <right/>
      <top/>
      <bottom style="thick">
        <color indexed="64"/>
      </bottom>
      <diagonal/>
    </border>
    <border>
      <left/>
      <right/>
      <top/>
      <bottom style="thick">
        <color indexed="64"/>
      </bottom>
      <diagonal/>
    </border>
    <border>
      <left/>
      <right style="medium">
        <color indexed="64"/>
      </right>
      <top/>
      <bottom style="thick">
        <color indexed="64"/>
      </bottom>
      <diagonal/>
    </border>
    <border>
      <left style="thin">
        <color indexed="64"/>
      </left>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0" fontId="18" fillId="0" borderId="0" applyNumberFormat="0" applyFill="0" applyBorder="0" applyAlignment="0" applyProtection="0"/>
    <xf numFmtId="9" fontId="28" fillId="0" borderId="0" applyFont="0" applyFill="0" applyBorder="0" applyAlignment="0" applyProtection="0"/>
    <xf numFmtId="0" fontId="29" fillId="7" borderId="0" applyNumberFormat="0" applyBorder="0" applyAlignment="0" applyProtection="0"/>
  </cellStyleXfs>
  <cellXfs count="206">
    <xf numFmtId="0" fontId="0" fillId="0" borderId="0" xfId="0"/>
    <xf numFmtId="10" fontId="3" fillId="0" borderId="0" xfId="0" applyNumberFormat="1" applyFont="1"/>
    <xf numFmtId="7" fontId="0" fillId="0" borderId="0" xfId="0" applyNumberFormat="1"/>
    <xf numFmtId="7" fontId="3" fillId="0" borderId="0" xfId="0" applyNumberFormat="1" applyFont="1"/>
    <xf numFmtId="0" fontId="1" fillId="0" borderId="0" xfId="0" applyFont="1"/>
    <xf numFmtId="0" fontId="9" fillId="0" borderId="0" xfId="0" applyFont="1"/>
    <xf numFmtId="10" fontId="10" fillId="0" borderId="0" xfId="0" applyNumberFormat="1" applyFont="1" applyAlignment="1">
      <alignment horizontal="center"/>
    </xf>
    <xf numFmtId="0" fontId="9" fillId="0" borderId="0" xfId="0" applyFont="1" applyAlignment="1">
      <alignment horizontal="center"/>
    </xf>
    <xf numFmtId="0" fontId="9" fillId="2" borderId="0" xfId="0" applyFont="1" applyFill="1" applyAlignment="1">
      <alignment horizontal="center"/>
    </xf>
    <xf numFmtId="166" fontId="9" fillId="0" borderId="0" xfId="1" applyNumberFormat="1" applyFont="1" applyAlignment="1" applyProtection="1">
      <alignment horizontal="center"/>
    </xf>
    <xf numFmtId="7" fontId="9" fillId="0" borderId="0" xfId="0" applyNumberFormat="1" applyFont="1"/>
    <xf numFmtId="0" fontId="17" fillId="0" borderId="0" xfId="0" applyFont="1"/>
    <xf numFmtId="164" fontId="17" fillId="0" borderId="0" xfId="0" applyNumberFormat="1" applyFont="1"/>
    <xf numFmtId="0" fontId="18" fillId="0" borderId="0" xfId="2"/>
    <xf numFmtId="7" fontId="9" fillId="2" borderId="0" xfId="0" applyNumberFormat="1" applyFont="1" applyFill="1" applyAlignment="1">
      <alignment horizontal="center"/>
    </xf>
    <xf numFmtId="166" fontId="9" fillId="2" borderId="0" xfId="1" applyNumberFormat="1" applyFont="1" applyFill="1" applyAlignment="1" applyProtection="1">
      <alignment horizontal="center"/>
    </xf>
    <xf numFmtId="0" fontId="21" fillId="0" borderId="0" xfId="0" applyFont="1"/>
    <xf numFmtId="164" fontId="21" fillId="0" borderId="0" xfId="0" applyNumberFormat="1" applyFont="1"/>
    <xf numFmtId="0" fontId="22" fillId="2" borderId="0" xfId="0" applyFont="1" applyFill="1"/>
    <xf numFmtId="166" fontId="20" fillId="0" borderId="0" xfId="0" applyNumberFormat="1" applyFont="1"/>
    <xf numFmtId="166" fontId="17" fillId="0" borderId="0" xfId="0" applyNumberFormat="1" applyFont="1"/>
    <xf numFmtId="0" fontId="9" fillId="2" borderId="0" xfId="0" applyFont="1" applyFill="1"/>
    <xf numFmtId="0" fontId="12" fillId="0" borderId="27" xfId="0" applyFont="1" applyBorder="1" applyAlignment="1">
      <alignment horizontal="center" vertical="center" wrapText="1"/>
    </xf>
    <xf numFmtId="0" fontId="12" fillId="0" borderId="19" xfId="0" applyFont="1" applyBorder="1"/>
    <xf numFmtId="0" fontId="12" fillId="0" borderId="21" xfId="0" applyFont="1" applyBorder="1"/>
    <xf numFmtId="171" fontId="1" fillId="0" borderId="16" xfId="0" applyNumberFormat="1" applyFont="1" applyBorder="1"/>
    <xf numFmtId="171" fontId="1" fillId="0" borderId="7" xfId="0" applyNumberFormat="1" applyFont="1" applyBorder="1"/>
    <xf numFmtId="0" fontId="1" fillId="0" borderId="1" xfId="0" applyFont="1" applyBorder="1"/>
    <xf numFmtId="10" fontId="1" fillId="0" borderId="14" xfId="0" applyNumberFormat="1" applyFont="1" applyBorder="1" applyAlignment="1">
      <alignment horizontal="center" vertical="center"/>
    </xf>
    <xf numFmtId="0" fontId="1" fillId="0" borderId="9" xfId="0" applyFont="1" applyBorder="1"/>
    <xf numFmtId="7" fontId="1" fillId="0" borderId="16" xfId="0" applyNumberFormat="1" applyFont="1" applyBorder="1"/>
    <xf numFmtId="10" fontId="1" fillId="0" borderId="7" xfId="3" applyNumberFormat="1" applyFont="1" applyBorder="1" applyProtection="1"/>
    <xf numFmtId="10" fontId="1" fillId="0" borderId="8" xfId="0" applyNumberFormat="1" applyFont="1" applyBorder="1" applyAlignment="1">
      <alignment horizontal="center" vertical="center"/>
    </xf>
    <xf numFmtId="0" fontId="9" fillId="6" borderId="0" xfId="0" applyFont="1" applyFill="1"/>
    <xf numFmtId="10" fontId="1" fillId="0" borderId="0" xfId="0" applyNumberFormat="1" applyFont="1"/>
    <xf numFmtId="0" fontId="1" fillId="6" borderId="0" xfId="0" applyFont="1" applyFill="1"/>
    <xf numFmtId="0" fontId="7" fillId="6" borderId="0" xfId="0" applyFont="1" applyFill="1"/>
    <xf numFmtId="1" fontId="9" fillId="6" borderId="0" xfId="0" applyNumberFormat="1" applyFont="1" applyFill="1" applyAlignment="1">
      <alignment horizontal="center"/>
    </xf>
    <xf numFmtId="1" fontId="25" fillId="6" borderId="0" xfId="0" applyNumberFormat="1" applyFont="1" applyFill="1" applyAlignment="1">
      <alignment horizontal="center"/>
    </xf>
    <xf numFmtId="0" fontId="9" fillId="6" borderId="0" xfId="0" applyFont="1" applyFill="1" applyAlignment="1">
      <alignment horizontal="center"/>
    </xf>
    <xf numFmtId="0" fontId="13" fillId="0" borderId="0" xfId="0" applyFont="1"/>
    <xf numFmtId="0" fontId="4" fillId="0" borderId="22" xfId="0" applyFont="1" applyBorder="1"/>
    <xf numFmtId="0" fontId="8" fillId="6" borderId="0" xfId="0" applyFont="1" applyFill="1" applyAlignment="1">
      <alignment horizontal="center" vertical="center"/>
    </xf>
    <xf numFmtId="10" fontId="9" fillId="3" borderId="10" xfId="0" applyNumberFormat="1" applyFont="1" applyFill="1" applyBorder="1" applyAlignment="1">
      <alignment horizontal="center"/>
    </xf>
    <xf numFmtId="0" fontId="9" fillId="3" borderId="11" xfId="0" applyFont="1" applyFill="1" applyBorder="1" applyAlignment="1">
      <alignment horizontal="center"/>
    </xf>
    <xf numFmtId="0" fontId="9" fillId="3" borderId="12" xfId="0" applyFont="1" applyFill="1" applyBorder="1" applyAlignment="1">
      <alignment horizontal="center"/>
    </xf>
    <xf numFmtId="0" fontId="9" fillId="3" borderId="13" xfId="0" applyFont="1" applyFill="1" applyBorder="1" applyAlignment="1">
      <alignment horizontal="center"/>
    </xf>
    <xf numFmtId="1" fontId="7" fillId="6" borderId="0" xfId="0" applyNumberFormat="1" applyFont="1" applyFill="1" applyAlignment="1">
      <alignment horizontal="center" vertical="center"/>
    </xf>
    <xf numFmtId="0" fontId="4" fillId="6" borderId="0" xfId="0" applyFont="1" applyFill="1" applyAlignment="1">
      <alignment horizontal="center"/>
    </xf>
    <xf numFmtId="0" fontId="7" fillId="4" borderId="9" xfId="0" applyFont="1" applyFill="1" applyBorder="1"/>
    <xf numFmtId="0" fontId="9" fillId="4" borderId="0" xfId="0" applyFont="1" applyFill="1"/>
    <xf numFmtId="0" fontId="9" fillId="4" borderId="14" xfId="0" applyFont="1" applyFill="1" applyBorder="1"/>
    <xf numFmtId="0" fontId="9" fillId="4" borderId="16" xfId="0" applyFont="1" applyFill="1" applyBorder="1"/>
    <xf numFmtId="167" fontId="5" fillId="4" borderId="9" xfId="0" quotePrefix="1" applyNumberFormat="1" applyFont="1" applyFill="1" applyBorder="1" applyAlignment="1">
      <alignment horizontal="left"/>
    </xf>
    <xf numFmtId="0" fontId="6" fillId="4" borderId="0" xfId="0" applyFont="1" applyFill="1"/>
    <xf numFmtId="168" fontId="6" fillId="4" borderId="0" xfId="0" applyNumberFormat="1" applyFont="1" applyFill="1"/>
    <xf numFmtId="169" fontId="6" fillId="4" borderId="14" xfId="0" applyNumberFormat="1" applyFont="1" applyFill="1" applyBorder="1"/>
    <xf numFmtId="0" fontId="9" fillId="4" borderId="9" xfId="0" applyFont="1" applyFill="1" applyBorder="1"/>
    <xf numFmtId="10" fontId="9" fillId="4" borderId="14" xfId="0" applyNumberFormat="1" applyFont="1" applyFill="1" applyBorder="1"/>
    <xf numFmtId="169" fontId="9" fillId="4" borderId="14" xfId="1" applyNumberFormat="1" applyFont="1" applyFill="1" applyBorder="1" applyProtection="1"/>
    <xf numFmtId="0" fontId="6" fillId="4" borderId="16" xfId="0" applyFont="1" applyFill="1" applyBorder="1"/>
    <xf numFmtId="0" fontId="6" fillId="6" borderId="0" xfId="0" applyFont="1" applyFill="1"/>
    <xf numFmtId="167" fontId="6" fillId="4" borderId="9" xfId="0" quotePrefix="1" applyNumberFormat="1" applyFont="1" applyFill="1" applyBorder="1" applyAlignment="1">
      <alignment horizontal="left"/>
    </xf>
    <xf numFmtId="167" fontId="5" fillId="4" borderId="17" xfId="0" applyNumberFormat="1" applyFont="1" applyFill="1" applyBorder="1" applyAlignment="1">
      <alignment horizontal="left"/>
    </xf>
    <xf numFmtId="0" fontId="6" fillId="4" borderId="15" xfId="0" applyFont="1" applyFill="1" applyBorder="1"/>
    <xf numFmtId="169" fontId="6" fillId="4" borderId="8" xfId="0" applyNumberFormat="1" applyFont="1" applyFill="1" applyBorder="1"/>
    <xf numFmtId="0" fontId="6" fillId="4" borderId="18" xfId="0" applyFont="1" applyFill="1" applyBorder="1"/>
    <xf numFmtId="167" fontId="5" fillId="4" borderId="5" xfId="0" quotePrefix="1" applyNumberFormat="1" applyFont="1" applyFill="1" applyBorder="1" applyAlignment="1">
      <alignment horizontal="left"/>
    </xf>
    <xf numFmtId="0" fontId="9" fillId="4" borderId="6" xfId="0" applyFont="1" applyFill="1" applyBorder="1"/>
    <xf numFmtId="0" fontId="9" fillId="4" borderId="3" xfId="0" applyFont="1" applyFill="1" applyBorder="1"/>
    <xf numFmtId="169" fontId="5" fillId="4" borderId="4" xfId="0" applyNumberFormat="1" applyFont="1" applyFill="1" applyBorder="1"/>
    <xf numFmtId="169" fontId="5" fillId="6" borderId="0" xfId="0" applyNumberFormat="1" applyFont="1" applyFill="1"/>
    <xf numFmtId="167" fontId="6" fillId="4" borderId="16" xfId="0" applyNumberFormat="1" applyFont="1" applyFill="1" applyBorder="1" applyAlignment="1">
      <alignment horizontal="left"/>
    </xf>
    <xf numFmtId="167" fontId="6" fillId="6" borderId="0" xfId="0" applyNumberFormat="1" applyFont="1" applyFill="1" applyAlignment="1">
      <alignment horizontal="left"/>
    </xf>
    <xf numFmtId="167" fontId="5" fillId="4" borderId="9" xfId="0" applyNumberFormat="1" applyFont="1" applyFill="1" applyBorder="1" applyAlignment="1">
      <alignment horizontal="left"/>
    </xf>
    <xf numFmtId="168" fontId="6" fillId="4" borderId="15" xfId="0" applyNumberFormat="1" applyFont="1" applyFill="1" applyBorder="1"/>
    <xf numFmtId="166" fontId="6" fillId="4" borderId="18" xfId="0" applyNumberFormat="1" applyFont="1" applyFill="1" applyBorder="1"/>
    <xf numFmtId="166" fontId="6" fillId="6" borderId="0" xfId="0" applyNumberFormat="1" applyFont="1" applyFill="1"/>
    <xf numFmtId="0" fontId="6" fillId="4" borderId="6" xfId="0" applyFont="1" applyFill="1" applyBorder="1"/>
    <xf numFmtId="169" fontId="9" fillId="4" borderId="3" xfId="0" applyNumberFormat="1" applyFont="1" applyFill="1" applyBorder="1"/>
    <xf numFmtId="169" fontId="11" fillId="6" borderId="0" xfId="0" quotePrefix="1" applyNumberFormat="1" applyFont="1" applyFill="1"/>
    <xf numFmtId="167" fontId="16" fillId="6" borderId="5" xfId="0" quotePrefix="1" applyNumberFormat="1" applyFont="1" applyFill="1" applyBorder="1" applyAlignment="1">
      <alignment horizontal="left"/>
    </xf>
    <xf numFmtId="0" fontId="16" fillId="6" borderId="6" xfId="0" applyFont="1" applyFill="1" applyBorder="1"/>
    <xf numFmtId="169" fontId="16" fillId="6" borderId="3" xfId="0" applyNumberFormat="1" applyFont="1" applyFill="1" applyBorder="1"/>
    <xf numFmtId="0" fontId="9" fillId="0" borderId="0" xfId="0" applyFont="1" applyAlignment="1">
      <alignment horizontal="distributed" wrapText="1"/>
    </xf>
    <xf numFmtId="0" fontId="19" fillId="0" borderId="0" xfId="0" applyFont="1"/>
    <xf numFmtId="0" fontId="19" fillId="6" borderId="0" xfId="0" applyFont="1" applyFill="1"/>
    <xf numFmtId="0" fontId="1" fillId="6" borderId="0" xfId="0" applyFont="1" applyFill="1" applyAlignment="1">
      <alignment horizontal="centerContinuous"/>
    </xf>
    <xf numFmtId="0" fontId="9" fillId="6" borderId="28" xfId="0" applyFont="1" applyFill="1" applyBorder="1"/>
    <xf numFmtId="7" fontId="10" fillId="6" borderId="0" xfId="1" applyNumberFormat="1" applyFont="1" applyFill="1" applyBorder="1" applyAlignment="1" applyProtection="1">
      <alignment horizontal="center"/>
    </xf>
    <xf numFmtId="165" fontId="9" fillId="6" borderId="0" xfId="0" applyNumberFormat="1" applyFont="1" applyFill="1" applyAlignment="1">
      <alignment horizontal="center"/>
    </xf>
    <xf numFmtId="2" fontId="10" fillId="6" borderId="0" xfId="0" applyNumberFormat="1" applyFont="1" applyFill="1" applyAlignment="1">
      <alignment horizontal="center"/>
    </xf>
    <xf numFmtId="1" fontId="1" fillId="6" borderId="0" xfId="0" applyNumberFormat="1" applyFont="1" applyFill="1"/>
    <xf numFmtId="0" fontId="15" fillId="6" borderId="0" xfId="0" applyFont="1" applyFill="1" applyAlignment="1">
      <alignment horizontal="center"/>
    </xf>
    <xf numFmtId="10" fontId="15" fillId="6" borderId="0" xfId="0" applyNumberFormat="1" applyFont="1" applyFill="1" applyAlignment="1">
      <alignment horizontal="center"/>
    </xf>
    <xf numFmtId="0" fontId="10" fillId="6" borderId="0" xfId="0" applyFont="1" applyFill="1" applyAlignment="1">
      <alignment horizontal="center"/>
    </xf>
    <xf numFmtId="167" fontId="5" fillId="6" borderId="0" xfId="0" applyNumberFormat="1" applyFont="1" applyFill="1" applyAlignment="1">
      <alignment horizontal="left"/>
    </xf>
    <xf numFmtId="169" fontId="9" fillId="6" borderId="0" xfId="0" applyNumberFormat="1" applyFont="1" applyFill="1"/>
    <xf numFmtId="167" fontId="6" fillId="6" borderId="0" xfId="0" quotePrefix="1" applyNumberFormat="1" applyFont="1" applyFill="1" applyAlignment="1">
      <alignment horizontal="left"/>
    </xf>
    <xf numFmtId="0" fontId="7" fillId="0" borderId="22" xfId="0" applyFont="1" applyBorder="1" applyAlignment="1" applyProtection="1">
      <alignment horizontal="center"/>
      <protection hidden="1"/>
    </xf>
    <xf numFmtId="0" fontId="9" fillId="0" borderId="22" xfId="0" applyFont="1" applyBorder="1" applyAlignment="1" applyProtection="1">
      <alignment horizontal="center"/>
      <protection hidden="1"/>
    </xf>
    <xf numFmtId="172" fontId="30" fillId="0" borderId="22" xfId="1" applyNumberFormat="1" applyFont="1" applyFill="1" applyBorder="1" applyAlignment="1" applyProtection="1">
      <alignment horizontal="center"/>
      <protection locked="0"/>
    </xf>
    <xf numFmtId="14" fontId="0" fillId="0" borderId="0" xfId="0" applyNumberFormat="1"/>
    <xf numFmtId="0" fontId="3" fillId="0" borderId="0" xfId="0" applyFont="1"/>
    <xf numFmtId="166" fontId="0" fillId="0" borderId="0" xfId="0" applyNumberFormat="1"/>
    <xf numFmtId="0" fontId="1" fillId="6" borderId="33" xfId="0" applyFont="1" applyFill="1" applyBorder="1"/>
    <xf numFmtId="0" fontId="1" fillId="6" borderId="28" xfId="0" applyFont="1" applyFill="1" applyBorder="1"/>
    <xf numFmtId="0" fontId="9" fillId="6" borderId="33" xfId="0" applyFont="1" applyFill="1" applyBorder="1"/>
    <xf numFmtId="0" fontId="13" fillId="6" borderId="33" xfId="0" applyFont="1" applyFill="1" applyBorder="1"/>
    <xf numFmtId="0" fontId="13" fillId="6" borderId="28" xfId="0" applyFont="1" applyFill="1" applyBorder="1"/>
    <xf numFmtId="167" fontId="9" fillId="6" borderId="33" xfId="0" applyNumberFormat="1" applyFont="1" applyFill="1" applyBorder="1"/>
    <xf numFmtId="167" fontId="9" fillId="6" borderId="28" xfId="0" applyNumberFormat="1" applyFont="1" applyFill="1" applyBorder="1"/>
    <xf numFmtId="0" fontId="9" fillId="6" borderId="26" xfId="0" applyFont="1" applyFill="1" applyBorder="1"/>
    <xf numFmtId="0" fontId="9" fillId="6" borderId="15" xfId="0" applyFont="1" applyFill="1" applyBorder="1"/>
    <xf numFmtId="0" fontId="9" fillId="6" borderId="25" xfId="0" applyFont="1" applyFill="1" applyBorder="1"/>
    <xf numFmtId="0" fontId="8" fillId="6" borderId="0" xfId="0" applyFont="1" applyFill="1" applyAlignment="1">
      <alignment horizontal="center"/>
    </xf>
    <xf numFmtId="170" fontId="6" fillId="4" borderId="14" xfId="0" applyNumberFormat="1" applyFont="1" applyFill="1" applyBorder="1"/>
    <xf numFmtId="168" fontId="11" fillId="3" borderId="7" xfId="0" applyNumberFormat="1" applyFont="1" applyFill="1" applyBorder="1" applyAlignment="1">
      <alignment horizontal="center" shrinkToFit="1"/>
    </xf>
    <xf numFmtId="168" fontId="11" fillId="3" borderId="21" xfId="0" applyNumberFormat="1" applyFont="1" applyFill="1" applyBorder="1" applyAlignment="1">
      <alignment horizontal="center" shrinkToFit="1"/>
    </xf>
    <xf numFmtId="167" fontId="11" fillId="3" borderId="19" xfId="0" quotePrefix="1" applyNumberFormat="1" applyFont="1" applyFill="1" applyBorder="1"/>
    <xf numFmtId="167" fontId="11" fillId="3" borderId="20" xfId="0" quotePrefix="1" applyNumberFormat="1" applyFont="1" applyFill="1" applyBorder="1"/>
    <xf numFmtId="167" fontId="11" fillId="3" borderId="9" xfId="0" quotePrefix="1" applyNumberFormat="1" applyFont="1" applyFill="1" applyBorder="1"/>
    <xf numFmtId="167" fontId="11" fillId="3" borderId="0" xfId="0" quotePrefix="1" applyNumberFormat="1" applyFont="1" applyFill="1"/>
    <xf numFmtId="168" fontId="11" fillId="3" borderId="16" xfId="0" applyNumberFormat="1" applyFont="1" applyFill="1" applyBorder="1" applyAlignment="1">
      <alignment horizontal="center" shrinkToFit="1"/>
    </xf>
    <xf numFmtId="167" fontId="32" fillId="3" borderId="9" xfId="0" quotePrefix="1" applyNumberFormat="1" applyFont="1" applyFill="1" applyBorder="1"/>
    <xf numFmtId="167" fontId="11" fillId="3" borderId="1" xfId="0" quotePrefix="1" applyNumberFormat="1" applyFont="1" applyFill="1" applyBorder="1"/>
    <xf numFmtId="167" fontId="11" fillId="3" borderId="2" xfId="0" quotePrefix="1" applyNumberFormat="1" applyFont="1" applyFill="1" applyBorder="1"/>
    <xf numFmtId="169" fontId="11" fillId="3" borderId="8" xfId="0" quotePrefix="1" applyNumberFormat="1" applyFont="1" applyFill="1" applyBorder="1" applyAlignment="1">
      <alignment vertical="center"/>
    </xf>
    <xf numFmtId="167" fontId="32" fillId="3" borderId="35" xfId="0" quotePrefix="1" applyNumberFormat="1" applyFont="1" applyFill="1" applyBorder="1"/>
    <xf numFmtId="167" fontId="11" fillId="3" borderId="36" xfId="0" quotePrefix="1" applyNumberFormat="1" applyFont="1" applyFill="1" applyBorder="1"/>
    <xf numFmtId="168" fontId="11" fillId="3" borderId="37" xfId="0" applyNumberFormat="1" applyFont="1" applyFill="1" applyBorder="1" applyAlignment="1">
      <alignment horizontal="center" shrinkToFit="1"/>
    </xf>
    <xf numFmtId="14" fontId="9" fillId="0" borderId="0" xfId="0" applyNumberFormat="1" applyFont="1"/>
    <xf numFmtId="0" fontId="8" fillId="6" borderId="0" xfId="0" applyFont="1" applyFill="1" applyAlignment="1">
      <alignment horizontal="left"/>
    </xf>
    <xf numFmtId="0" fontId="7" fillId="6" borderId="0" xfId="0" quotePrefix="1" applyFont="1" applyFill="1"/>
    <xf numFmtId="0" fontId="8" fillId="5" borderId="0" xfId="0" applyFont="1" applyFill="1" applyAlignment="1">
      <alignment horizontal="center" vertical="center"/>
    </xf>
    <xf numFmtId="0" fontId="9" fillId="3" borderId="0" xfId="0" applyFont="1" applyFill="1" applyAlignment="1">
      <alignment horizontal="center"/>
    </xf>
    <xf numFmtId="0" fontId="7" fillId="3" borderId="0" xfId="0" applyFont="1" applyFill="1" applyAlignment="1">
      <alignment horizontal="center" vertical="center"/>
    </xf>
    <xf numFmtId="0" fontId="4" fillId="4" borderId="0" xfId="0" applyFont="1" applyFill="1" applyAlignment="1">
      <alignment horizontal="center"/>
    </xf>
    <xf numFmtId="169" fontId="5" fillId="4" borderId="0" xfId="0" applyNumberFormat="1" applyFont="1" applyFill="1"/>
    <xf numFmtId="167" fontId="6" fillId="4" borderId="0" xfId="0" applyNumberFormat="1" applyFont="1" applyFill="1" applyAlignment="1">
      <alignment horizontal="left"/>
    </xf>
    <xf numFmtId="166" fontId="6" fillId="4" borderId="0" xfId="0" applyNumberFormat="1" applyFont="1" applyFill="1"/>
    <xf numFmtId="169" fontId="11" fillId="3" borderId="0" xfId="0" quotePrefix="1" applyNumberFormat="1" applyFont="1" applyFill="1" applyAlignment="1">
      <alignment horizontal="right" vertical="center"/>
    </xf>
    <xf numFmtId="169" fontId="11" fillId="3" borderId="0" xfId="0" quotePrefix="1" applyNumberFormat="1" applyFont="1" applyFill="1" applyAlignment="1">
      <alignment vertical="center"/>
    </xf>
    <xf numFmtId="2" fontId="34" fillId="6" borderId="22" xfId="0" applyNumberFormat="1" applyFont="1" applyFill="1" applyBorder="1" applyAlignment="1" applyProtection="1">
      <alignment horizontal="center"/>
      <protection locked="0"/>
    </xf>
    <xf numFmtId="0" fontId="8" fillId="6" borderId="32" xfId="0" applyFont="1" applyFill="1" applyBorder="1" applyAlignment="1">
      <alignment horizontal="centerContinuous"/>
    </xf>
    <xf numFmtId="0" fontId="8" fillId="6" borderId="31" xfId="0" applyFont="1" applyFill="1" applyBorder="1" applyAlignment="1">
      <alignment horizontal="centerContinuous"/>
    </xf>
    <xf numFmtId="0" fontId="8" fillId="6" borderId="30" xfId="0" applyFont="1" applyFill="1" applyBorder="1" applyAlignment="1">
      <alignment horizontal="centerContinuous"/>
    </xf>
    <xf numFmtId="0" fontId="8" fillId="6" borderId="33" xfId="0" applyFont="1" applyFill="1" applyBorder="1" applyAlignment="1">
      <alignment horizontal="centerContinuous"/>
    </xf>
    <xf numFmtId="0" fontId="8" fillId="6" borderId="0" xfId="0" applyFont="1" applyFill="1" applyAlignment="1">
      <alignment horizontal="centerContinuous"/>
    </xf>
    <xf numFmtId="0" fontId="8" fillId="6" borderId="28" xfId="0" applyFont="1" applyFill="1" applyBorder="1" applyAlignment="1">
      <alignment horizontal="centerContinuous"/>
    </xf>
    <xf numFmtId="0" fontId="31" fillId="6" borderId="0" xfId="0" applyFont="1" applyFill="1" applyAlignment="1">
      <alignment horizontal="centerContinuous"/>
    </xf>
    <xf numFmtId="0" fontId="7" fillId="8" borderId="22" xfId="0" applyFont="1" applyFill="1" applyBorder="1" applyAlignment="1">
      <alignment horizontal="center"/>
    </xf>
    <xf numFmtId="0" fontId="4" fillId="8" borderId="22" xfId="0" applyFont="1" applyFill="1" applyBorder="1" applyAlignment="1">
      <alignment horizontal="center"/>
    </xf>
    <xf numFmtId="0" fontId="7" fillId="8" borderId="29" xfId="0" applyFont="1" applyFill="1" applyBorder="1" applyAlignment="1">
      <alignment horizontal="center" vertical="center" wrapText="1"/>
    </xf>
    <xf numFmtId="0" fontId="7" fillId="8" borderId="22" xfId="0" applyFont="1" applyFill="1" applyBorder="1" applyAlignment="1">
      <alignment horizontal="center" vertical="center" wrapText="1"/>
    </xf>
    <xf numFmtId="0" fontId="7" fillId="8" borderId="24" xfId="0" applyFont="1" applyFill="1" applyBorder="1" applyAlignment="1">
      <alignment horizontal="center"/>
    </xf>
    <xf numFmtId="0" fontId="7" fillId="8" borderId="24" xfId="0" applyFont="1" applyFill="1" applyBorder="1"/>
    <xf numFmtId="0" fontId="7" fillId="8" borderId="22" xfId="0" applyFont="1" applyFill="1" applyBorder="1"/>
    <xf numFmtId="0" fontId="9" fillId="8" borderId="22" xfId="0" applyFont="1" applyFill="1" applyBorder="1"/>
    <xf numFmtId="1" fontId="9" fillId="9" borderId="22" xfId="0" applyNumberFormat="1" applyFont="1" applyFill="1" applyBorder="1" applyAlignment="1">
      <alignment horizontal="center"/>
    </xf>
    <xf numFmtId="1" fontId="14" fillId="9" borderId="22" xfId="0" applyNumberFormat="1" applyFont="1" applyFill="1" applyBorder="1" applyAlignment="1">
      <alignment horizontal="center"/>
    </xf>
    <xf numFmtId="0" fontId="14" fillId="9" borderId="22" xfId="0" applyFont="1" applyFill="1" applyBorder="1" applyAlignment="1">
      <alignment horizontal="center"/>
    </xf>
    <xf numFmtId="0" fontId="9" fillId="9" borderId="22" xfId="0" applyFont="1" applyFill="1" applyBorder="1" applyAlignment="1">
      <alignment horizontal="center"/>
    </xf>
    <xf numFmtId="0" fontId="25" fillId="10" borderId="22" xfId="0" applyFont="1" applyFill="1" applyBorder="1" applyAlignment="1" applyProtection="1">
      <alignment horizontal="center"/>
      <protection locked="0"/>
    </xf>
    <xf numFmtId="1" fontId="26" fillId="10" borderId="22" xfId="0" applyNumberFormat="1" applyFont="1" applyFill="1" applyBorder="1" applyAlignment="1" applyProtection="1">
      <alignment horizontal="center"/>
      <protection locked="0"/>
    </xf>
    <xf numFmtId="10" fontId="26" fillId="10" borderId="22" xfId="0" applyNumberFormat="1" applyFont="1" applyFill="1" applyBorder="1" applyAlignment="1" applyProtection="1">
      <alignment horizontal="center"/>
      <protection locked="0"/>
    </xf>
    <xf numFmtId="2" fontId="25" fillId="10" borderId="22" xfId="0" applyNumberFormat="1" applyFont="1" applyFill="1" applyBorder="1" applyAlignment="1" applyProtection="1">
      <alignment horizontal="center"/>
      <protection locked="0"/>
    </xf>
    <xf numFmtId="1" fontId="25" fillId="10" borderId="23" xfId="0" applyNumberFormat="1" applyFont="1" applyFill="1" applyBorder="1" applyAlignment="1" applyProtection="1">
      <alignment horizontal="center"/>
      <protection locked="0"/>
    </xf>
    <xf numFmtId="1" fontId="25" fillId="10" borderId="22" xfId="0" applyNumberFormat="1" applyFont="1" applyFill="1" applyBorder="1" applyAlignment="1" applyProtection="1">
      <alignment horizontal="center"/>
      <protection locked="0"/>
    </xf>
    <xf numFmtId="0" fontId="9" fillId="6" borderId="0" xfId="0" applyFont="1" applyFill="1" applyAlignment="1">
      <alignment vertical="top"/>
    </xf>
    <xf numFmtId="7" fontId="1" fillId="0" borderId="0" xfId="0" applyNumberFormat="1" applyFont="1"/>
    <xf numFmtId="0" fontId="25" fillId="10" borderId="23" xfId="0" applyFont="1" applyFill="1" applyBorder="1" applyAlignment="1" applyProtection="1">
      <alignment horizontal="center"/>
      <protection locked="0"/>
    </xf>
    <xf numFmtId="173" fontId="25" fillId="10" borderId="23" xfId="1" applyNumberFormat="1" applyFont="1" applyFill="1" applyBorder="1" applyAlignment="1" applyProtection="1">
      <alignment horizontal="center" vertical="center"/>
      <protection locked="0"/>
    </xf>
    <xf numFmtId="173" fontId="25" fillId="10" borderId="23" xfId="1" applyNumberFormat="1" applyFont="1" applyFill="1" applyBorder="1" applyAlignment="1" applyProtection="1">
      <alignment horizontal="center"/>
      <protection locked="0"/>
    </xf>
    <xf numFmtId="0" fontId="15" fillId="6" borderId="0" xfId="0" applyFont="1" applyFill="1" applyAlignment="1">
      <alignment horizontal="justify" wrapText="1"/>
    </xf>
    <xf numFmtId="0" fontId="8" fillId="5" borderId="5" xfId="0" applyFont="1" applyFill="1" applyBorder="1" applyAlignment="1">
      <alignment horizontal="center" vertical="center"/>
    </xf>
    <xf numFmtId="0" fontId="8" fillId="5" borderId="6" xfId="0" applyFont="1" applyFill="1" applyBorder="1" applyAlignment="1">
      <alignment horizontal="center" vertical="center"/>
    </xf>
    <xf numFmtId="0" fontId="8" fillId="5" borderId="3" xfId="0" applyFont="1" applyFill="1" applyBorder="1" applyAlignment="1">
      <alignment horizontal="center" vertical="center"/>
    </xf>
    <xf numFmtId="7" fontId="7" fillId="8" borderId="38" xfId="1" applyNumberFormat="1" applyFont="1" applyFill="1" applyBorder="1" applyAlignment="1" applyProtection="1">
      <alignment horizontal="left"/>
    </xf>
    <xf numFmtId="7" fontId="7" fillId="8" borderId="23" xfId="1" applyNumberFormat="1" applyFont="1" applyFill="1" applyBorder="1" applyAlignment="1" applyProtection="1">
      <alignment horizontal="left"/>
    </xf>
    <xf numFmtId="0" fontId="12" fillId="6" borderId="0" xfId="0" applyFont="1" applyFill="1" applyAlignment="1">
      <alignment horizontal="left" vertical="top" wrapText="1"/>
    </xf>
    <xf numFmtId="0" fontId="4" fillId="8" borderId="22" xfId="0" applyFont="1" applyFill="1" applyBorder="1" applyAlignment="1">
      <alignment horizontal="right" vertical="center" wrapText="1"/>
    </xf>
    <xf numFmtId="0" fontId="4" fillId="8" borderId="22" xfId="0" applyFont="1" applyFill="1" applyBorder="1" applyAlignment="1">
      <alignment horizontal="right"/>
    </xf>
    <xf numFmtId="0" fontId="7" fillId="6" borderId="0" xfId="4" applyFont="1" applyFill="1" applyBorder="1" applyAlignment="1" applyProtection="1">
      <alignment horizontal="left" wrapText="1"/>
    </xf>
    <xf numFmtId="0" fontId="12" fillId="6" borderId="22" xfId="0" applyFont="1" applyFill="1" applyBorder="1" applyAlignment="1">
      <alignment horizontal="center"/>
    </xf>
    <xf numFmtId="0" fontId="4" fillId="4" borderId="5" xfId="0" applyFont="1" applyFill="1" applyBorder="1" applyAlignment="1">
      <alignment horizontal="center"/>
    </xf>
    <xf numFmtId="0" fontId="4" fillId="4" borderId="6" xfId="0" applyFont="1" applyFill="1" applyBorder="1" applyAlignment="1">
      <alignment horizontal="center"/>
    </xf>
    <xf numFmtId="0" fontId="4" fillId="4" borderId="3" xfId="0" applyFont="1" applyFill="1" applyBorder="1" applyAlignment="1">
      <alignment horizontal="center"/>
    </xf>
    <xf numFmtId="0" fontId="12" fillId="3" borderId="19" xfId="0" applyFont="1" applyFill="1" applyBorder="1" applyAlignment="1">
      <alignment horizontal="center" vertical="center" wrapText="1"/>
    </xf>
    <xf numFmtId="0" fontId="12" fillId="3" borderId="20" xfId="0" applyFont="1" applyFill="1" applyBorder="1" applyAlignment="1">
      <alignment horizontal="center" vertical="center" wrapText="1"/>
    </xf>
    <xf numFmtId="0" fontId="12" fillId="3" borderId="21" xfId="0" applyFont="1" applyFill="1" applyBorder="1" applyAlignment="1">
      <alignment horizontal="center" vertical="center" wrapText="1"/>
    </xf>
    <xf numFmtId="0" fontId="12" fillId="3" borderId="1" xfId="0" applyFont="1" applyFill="1" applyBorder="1" applyAlignment="1">
      <alignment horizontal="center" vertical="center" wrapText="1"/>
    </xf>
    <xf numFmtId="0" fontId="12" fillId="3" borderId="2" xfId="0" applyFont="1" applyFill="1" applyBorder="1" applyAlignment="1">
      <alignment horizontal="center" vertical="center" wrapText="1"/>
    </xf>
    <xf numFmtId="0" fontId="12" fillId="3" borderId="7" xfId="0" applyFont="1" applyFill="1" applyBorder="1" applyAlignment="1">
      <alignment horizontal="center" vertical="center" wrapText="1"/>
    </xf>
    <xf numFmtId="169" fontId="11" fillId="3" borderId="27" xfId="0" quotePrefix="1" applyNumberFormat="1" applyFont="1" applyFill="1" applyBorder="1" applyAlignment="1">
      <alignment horizontal="right" vertical="center"/>
    </xf>
    <xf numFmtId="169" fontId="11" fillId="3" borderId="14" xfId="0" quotePrefix="1" applyNumberFormat="1" applyFont="1" applyFill="1" applyBorder="1" applyAlignment="1">
      <alignment horizontal="right" vertical="center"/>
    </xf>
    <xf numFmtId="169" fontId="11" fillId="3" borderId="34" xfId="0" quotePrefix="1" applyNumberFormat="1" applyFont="1" applyFill="1" applyBorder="1" applyAlignment="1">
      <alignment horizontal="right" vertical="center"/>
    </xf>
    <xf numFmtId="0" fontId="27" fillId="10" borderId="23" xfId="0" applyFont="1" applyFill="1" applyBorder="1" applyAlignment="1" applyProtection="1">
      <alignment horizontal="center"/>
      <protection locked="0"/>
    </xf>
    <xf numFmtId="0" fontId="35" fillId="10" borderId="22" xfId="0" applyFont="1" applyFill="1" applyBorder="1" applyAlignment="1" applyProtection="1">
      <alignment horizontal="center"/>
      <protection locked="0"/>
    </xf>
    <xf numFmtId="0" fontId="4" fillId="8" borderId="22" xfId="0" applyFont="1" applyFill="1" applyBorder="1" applyAlignment="1">
      <alignment horizontal="center" vertical="center"/>
    </xf>
    <xf numFmtId="0" fontId="7" fillId="3" borderId="19" xfId="0" applyFont="1" applyFill="1" applyBorder="1" applyAlignment="1">
      <alignment horizontal="center" vertical="center"/>
    </xf>
    <xf numFmtId="0" fontId="7" fillId="3" borderId="20" xfId="0" applyFont="1" applyFill="1" applyBorder="1" applyAlignment="1">
      <alignment horizontal="center" vertical="center"/>
    </xf>
    <xf numFmtId="0" fontId="7" fillId="3" borderId="21" xfId="0" applyFont="1" applyFill="1" applyBorder="1" applyAlignment="1">
      <alignment horizontal="center" vertical="center"/>
    </xf>
    <xf numFmtId="0" fontId="7" fillId="3" borderId="1" xfId="0" applyFont="1" applyFill="1" applyBorder="1" applyAlignment="1">
      <alignment horizontal="center" vertical="center"/>
    </xf>
    <xf numFmtId="0" fontId="7" fillId="3" borderId="2" xfId="0" applyFont="1" applyFill="1" applyBorder="1" applyAlignment="1">
      <alignment horizontal="center" vertical="center"/>
    </xf>
    <xf numFmtId="0" fontId="7" fillId="3" borderId="7" xfId="0" applyFont="1" applyFill="1" applyBorder="1" applyAlignment="1">
      <alignment horizontal="center" vertical="center"/>
    </xf>
  </cellXfs>
  <cellStyles count="5">
    <cellStyle name="Bad" xfId="4" builtinId="27"/>
    <cellStyle name="Currency" xfId="1" builtinId="4"/>
    <cellStyle name="Hyperlink" xfId="2" builtinId="8"/>
    <cellStyle name="Normal" xfId="0" builtinId="0"/>
    <cellStyle name="Percent" xfId="3" builtinId="5"/>
  </cellStyles>
  <dxfs count="18">
    <dxf>
      <font>
        <color theme="0"/>
      </font>
      <fill>
        <patternFill>
          <bgColor theme="0"/>
        </patternFill>
      </fill>
      <border>
        <left/>
        <right/>
        <top/>
        <bottom/>
        <vertical/>
        <horizontal/>
      </border>
    </dxf>
    <dxf>
      <font>
        <color theme="0"/>
      </font>
      <fill>
        <patternFill>
          <bgColor theme="0"/>
        </patternFill>
      </fill>
      <border>
        <left/>
        <vertical/>
        <horizontal/>
      </border>
    </dxf>
    <dxf>
      <font>
        <color theme="0"/>
      </font>
      <fill>
        <patternFill>
          <bgColor theme="0"/>
        </patternFill>
      </fill>
      <border>
        <left/>
        <bottom/>
        <vertical/>
        <horizontal/>
      </border>
    </dxf>
    <dxf>
      <font>
        <color theme="0"/>
      </font>
      <fill>
        <patternFill>
          <bgColor theme="0"/>
        </patternFill>
      </fill>
      <border>
        <left/>
        <vertical/>
        <horizontal/>
      </border>
    </dxf>
    <dxf>
      <font>
        <color theme="0"/>
      </font>
      <fill>
        <patternFill>
          <bgColor theme="0"/>
        </patternFill>
      </fill>
      <border>
        <left/>
        <bottom/>
        <vertical/>
        <horizontal/>
      </border>
    </dxf>
    <dxf>
      <font>
        <color theme="0"/>
      </font>
      <fill>
        <patternFill>
          <bgColor theme="0"/>
        </patternFill>
      </fill>
    </dxf>
    <dxf>
      <font>
        <color theme="0"/>
      </font>
      <fill>
        <patternFill>
          <bgColor theme="0"/>
        </patternFill>
      </fill>
      <border>
        <bottom/>
        <vertical/>
        <horizontal/>
      </border>
    </dxf>
    <dxf>
      <font>
        <color theme="0"/>
      </font>
      <fill>
        <patternFill>
          <bgColor theme="0"/>
        </patternFill>
      </fill>
      <border>
        <left/>
        <right/>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top/>
        <bottom/>
        <vertical/>
        <horizontal/>
      </border>
    </dxf>
    <dxf>
      <font>
        <color theme="0"/>
      </font>
      <fill>
        <patternFill>
          <bgColor theme="0"/>
        </patternFill>
      </fill>
      <border>
        <left/>
        <right/>
        <bottom/>
        <vertical/>
        <horizontal/>
      </border>
    </dxf>
    <dxf>
      <font>
        <color theme="0"/>
      </font>
      <fill>
        <patternFill>
          <bgColor theme="0"/>
        </patternFill>
      </fill>
      <border>
        <left/>
        <right/>
        <vertical/>
        <horizontal/>
      </border>
    </dxf>
    <dxf>
      <font>
        <color theme="0"/>
      </font>
      <fill>
        <patternFill>
          <bgColor theme="0"/>
        </patternFill>
      </fill>
      <border>
        <left/>
        <bottom/>
        <vertical/>
        <horizontal/>
      </border>
    </dxf>
    <dxf>
      <font>
        <strike val="0"/>
        <outline val="0"/>
        <shadow val="0"/>
        <u val="none"/>
        <vertAlign val="baseline"/>
        <sz val="10"/>
        <color rgb="FF00B050"/>
        <name val="Arial"/>
        <scheme val="none"/>
      </font>
      <numFmt numFmtId="166" formatCode="&quot;$&quot;#,##0.00"/>
    </dxf>
    <dxf>
      <font>
        <strike val="0"/>
        <outline val="0"/>
        <shadow val="0"/>
        <u val="none"/>
        <vertAlign val="baseline"/>
        <sz val="10"/>
        <color rgb="FF00B050"/>
        <name val="Arial"/>
        <scheme val="none"/>
      </font>
      <numFmt numFmtId="164" formatCode="&quot;$&quot;#,##0.00;[Red]\-&quot;$&quot;#,##0.00"/>
    </dxf>
    <dxf>
      <font>
        <strike val="0"/>
        <outline val="0"/>
        <shadow val="0"/>
        <u val="none"/>
        <vertAlign val="baseline"/>
        <sz val="10"/>
        <color rgb="FF00B050"/>
        <name val="Arial"/>
        <scheme val="none"/>
      </font>
    </dxf>
    <dxf>
      <font>
        <strike val="0"/>
        <outline val="0"/>
        <shadow val="0"/>
        <u val="none"/>
        <vertAlign val="baseline"/>
        <sz val="10"/>
        <color rgb="FF00B050"/>
        <name val="Arial"/>
        <scheme val="none"/>
      </font>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max" displayName="tablemax" ref="H5:J42" totalsRowShown="0" dataDxfId="17">
  <autoFilter ref="H5:J42" xr:uid="{00000000-0009-0000-0100-000001000000}"/>
  <tableColumns count="3">
    <tableColumn id="1" xr3:uid="{00000000-0010-0000-0000-000001000000}" name="Année" dataDxfId="16"/>
    <tableColumn id="2" xr3:uid="{00000000-0010-0000-0000-000002000000}" name="Plafond des PD" dataDxfId="15"/>
    <tableColumn id="3" xr3:uid="{00000000-0010-0000-0000-000003000000}" name="Salaire max" dataDxfId="14">
      <calculatedColumnFormula>+tablemax[[#This Row],[Plafond des PD]]/0.015</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2.bin"/><Relationship Id="rId1" Type="http://schemas.openxmlformats.org/officeDocument/2006/relationships/hyperlink" Target="https://www.canada.ca/en/revenue-agency/services/tax/registered-plans-administrators/pspa/mp-rrsp-dpsp-tfsa-limits-ymp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U132"/>
  <sheetViews>
    <sheetView tabSelected="1" view="pageBreakPreview" zoomScaleNormal="100" zoomScaleSheetLayoutView="100" workbookViewId="0">
      <selection activeCell="F13" sqref="F13"/>
    </sheetView>
  </sheetViews>
  <sheetFormatPr defaultColWidth="0" defaultRowHeight="12.75" zeroHeight="1" x14ac:dyDescent="0.2"/>
  <cols>
    <col min="1" max="1" width="2.7109375" style="35" customWidth="1"/>
    <col min="2" max="3" width="30.7109375" style="4" customWidth="1"/>
    <col min="4" max="8" width="25.7109375" style="4" customWidth="1"/>
    <col min="9" max="9" width="2.7109375" style="35" customWidth="1"/>
    <col min="10" max="20" width="11.42578125" style="4" hidden="1" customWidth="1"/>
    <col min="21" max="21" width="11.7109375" style="4" hidden="1" customWidth="1"/>
    <col min="22" max="16384" width="11.42578125" style="4" hidden="1"/>
  </cols>
  <sheetData>
    <row r="1" spans="1:21" ht="20.25" x14ac:dyDescent="0.3">
      <c r="A1" s="144" t="s">
        <v>25</v>
      </c>
      <c r="B1" s="145"/>
      <c r="C1" s="145"/>
      <c r="D1" s="145"/>
      <c r="E1" s="145"/>
      <c r="F1" s="145"/>
      <c r="G1" s="145"/>
      <c r="H1" s="145"/>
      <c r="I1" s="146"/>
      <c r="J1" s="4" t="s">
        <v>50</v>
      </c>
      <c r="Q1" s="34"/>
    </row>
    <row r="2" spans="1:21" ht="20.25" x14ac:dyDescent="0.3">
      <c r="A2" s="147" t="s">
        <v>45</v>
      </c>
      <c r="B2" s="148"/>
      <c r="C2" s="148"/>
      <c r="D2" s="148"/>
      <c r="E2" s="148"/>
      <c r="F2" s="148"/>
      <c r="G2" s="148"/>
      <c r="H2" s="148"/>
      <c r="I2" s="149"/>
      <c r="J2" s="4" t="s">
        <v>88</v>
      </c>
      <c r="Q2" s="34"/>
    </row>
    <row r="3" spans="1:21" ht="18" customHeight="1" thickBot="1" x14ac:dyDescent="0.35">
      <c r="A3" s="147" t="str">
        <f>CONCATENATE("(pour calcul de l'année ",Calculatrice!$A$7,")")</f>
        <v>(pour calcul de l'année 2026)</v>
      </c>
      <c r="B3" s="150"/>
      <c r="C3" s="150"/>
      <c r="D3" s="150"/>
      <c r="E3" s="150"/>
      <c r="F3" s="150"/>
      <c r="G3" s="150"/>
      <c r="H3" s="150"/>
      <c r="I3" s="149"/>
      <c r="Q3" s="34"/>
    </row>
    <row r="4" spans="1:21" ht="25.5" x14ac:dyDescent="0.2">
      <c r="A4" s="105"/>
      <c r="B4" s="35"/>
      <c r="C4" s="35"/>
      <c r="D4" s="35"/>
      <c r="E4" s="35"/>
      <c r="F4" s="35"/>
      <c r="G4" s="35"/>
      <c r="H4" s="35"/>
      <c r="I4" s="106"/>
      <c r="O4" s="22" t="s">
        <v>51</v>
      </c>
      <c r="Q4" s="23" t="s">
        <v>0</v>
      </c>
      <c r="R4" s="24" t="s">
        <v>52</v>
      </c>
      <c r="T4" s="23" t="s">
        <v>1</v>
      </c>
      <c r="U4" s="24" t="s">
        <v>57</v>
      </c>
    </row>
    <row r="5" spans="1:21" ht="18" x14ac:dyDescent="0.25">
      <c r="A5" s="105"/>
      <c r="B5" s="152" t="s">
        <v>11</v>
      </c>
      <c r="C5" s="197"/>
      <c r="D5" s="198"/>
      <c r="E5" s="198"/>
      <c r="F5" s="87"/>
      <c r="G5" s="87"/>
      <c r="H5" s="87"/>
      <c r="I5" s="106"/>
      <c r="O5" s="28">
        <v>0</v>
      </c>
      <c r="Q5" s="29">
        <v>1</v>
      </c>
      <c r="R5" s="25" t="s">
        <v>33</v>
      </c>
      <c r="T5" s="29">
        <f>C9-1</f>
        <v>-1</v>
      </c>
      <c r="U5" s="30">
        <f>E12</f>
        <v>0</v>
      </c>
    </row>
    <row r="6" spans="1:21" ht="14.25" x14ac:dyDescent="0.2">
      <c r="A6" s="105"/>
      <c r="B6" s="35"/>
      <c r="C6" s="35"/>
      <c r="D6" s="35"/>
      <c r="E6" s="35"/>
      <c r="F6" s="35"/>
      <c r="G6" s="35"/>
      <c r="H6" s="35"/>
      <c r="I6" s="106"/>
      <c r="J6" s="5"/>
      <c r="K6" s="5"/>
      <c r="O6" s="28">
        <f t="shared" ref="O6:O10" si="0">+O5+0.0025</f>
        <v>2.5000000000000001E-3</v>
      </c>
      <c r="Q6" s="29">
        <f>+Q5+1</f>
        <v>2</v>
      </c>
      <c r="R6" s="25" t="s">
        <v>34</v>
      </c>
      <c r="T6" s="29">
        <f>C10</f>
        <v>0</v>
      </c>
      <c r="U6" s="30">
        <f>E13</f>
        <v>0</v>
      </c>
    </row>
    <row r="7" spans="1:21" ht="15.75" thickBot="1" x14ac:dyDescent="0.3">
      <c r="A7" s="107"/>
      <c r="B7" s="35"/>
      <c r="C7" s="151" t="s">
        <v>1</v>
      </c>
      <c r="D7" s="151" t="s">
        <v>0</v>
      </c>
      <c r="E7" s="151" t="s">
        <v>9</v>
      </c>
      <c r="F7" s="33"/>
      <c r="G7" s="33"/>
      <c r="H7" s="33"/>
      <c r="I7" s="88"/>
      <c r="J7" s="5"/>
      <c r="K7" s="5"/>
      <c r="O7" s="28">
        <f t="shared" si="0"/>
        <v>5.0000000000000001E-3</v>
      </c>
      <c r="Q7" s="29">
        <f t="shared" ref="Q7:Q9" si="1">+Q6+1</f>
        <v>3</v>
      </c>
      <c r="R7" s="25" t="s">
        <v>35</v>
      </c>
      <c r="T7" s="27" t="s">
        <v>58</v>
      </c>
      <c r="U7" s="31" t="e">
        <f>FLOOR(POWER(U6/U5,1/(T6-T5))-1,0.0025)</f>
        <v>#DIV/0!</v>
      </c>
    </row>
    <row r="8" spans="1:21" ht="15.75" x14ac:dyDescent="0.25">
      <c r="A8" s="107"/>
      <c r="B8" s="152" t="s">
        <v>47</v>
      </c>
      <c r="C8" s="171"/>
      <c r="D8" s="163"/>
      <c r="E8" s="159">
        <v>1</v>
      </c>
      <c r="F8" s="33" t="s">
        <v>86</v>
      </c>
      <c r="G8" s="33"/>
      <c r="H8" s="33"/>
      <c r="I8" s="88"/>
      <c r="J8" s="5"/>
      <c r="K8" s="5"/>
      <c r="O8" s="28">
        <f t="shared" si="0"/>
        <v>7.4999999999999997E-3</v>
      </c>
      <c r="Q8" s="29">
        <f t="shared" si="1"/>
        <v>4</v>
      </c>
      <c r="R8" s="25" t="s">
        <v>36</v>
      </c>
    </row>
    <row r="9" spans="1:21" ht="15.75" x14ac:dyDescent="0.25">
      <c r="A9" s="107"/>
      <c r="B9" s="152" t="s">
        <v>49</v>
      </c>
      <c r="C9" s="171"/>
      <c r="D9" s="159">
        <v>12</v>
      </c>
      <c r="E9" s="159">
        <v>31</v>
      </c>
      <c r="F9" s="33" t="s">
        <v>60</v>
      </c>
      <c r="G9" s="33"/>
      <c r="H9" s="33"/>
      <c r="I9" s="88"/>
      <c r="J9" s="5"/>
      <c r="K9" s="5"/>
      <c r="O9" s="28">
        <f t="shared" si="0"/>
        <v>0.01</v>
      </c>
      <c r="Q9" s="29">
        <f t="shared" si="1"/>
        <v>5</v>
      </c>
      <c r="R9" s="25" t="s">
        <v>53</v>
      </c>
      <c r="U9" s="170"/>
    </row>
    <row r="10" spans="1:21" ht="15.75" x14ac:dyDescent="0.25">
      <c r="A10" s="107"/>
      <c r="B10" s="152" t="s">
        <v>56</v>
      </c>
      <c r="C10" s="171"/>
      <c r="D10" s="164"/>
      <c r="E10" s="164"/>
      <c r="F10" s="33"/>
      <c r="G10" s="33"/>
      <c r="H10" s="33"/>
      <c r="I10" s="88"/>
      <c r="J10" s="5"/>
      <c r="K10" s="5"/>
      <c r="O10" s="28">
        <f t="shared" si="0"/>
        <v>1.2500000000000001E-2</v>
      </c>
      <c r="Q10" s="29">
        <f t="shared" ref="Q10:Q15" si="2">+Q9+1</f>
        <v>6</v>
      </c>
      <c r="R10" s="25" t="s">
        <v>54</v>
      </c>
    </row>
    <row r="11" spans="1:21" ht="14.25" x14ac:dyDescent="0.2">
      <c r="A11" s="107"/>
      <c r="B11" s="35"/>
      <c r="C11" s="35"/>
      <c r="D11" s="35"/>
      <c r="E11" s="35"/>
      <c r="F11" s="35"/>
      <c r="G11" s="35"/>
      <c r="H11" s="35"/>
      <c r="I11" s="88"/>
      <c r="J11" s="5"/>
      <c r="K11" s="5"/>
      <c r="O11" s="28">
        <f>+O10+0.0025</f>
        <v>1.5000000000000001E-2</v>
      </c>
      <c r="Q11" s="29">
        <f t="shared" si="2"/>
        <v>7</v>
      </c>
      <c r="R11" s="25" t="s">
        <v>55</v>
      </c>
    </row>
    <row r="12" spans="1:21" ht="15.75" x14ac:dyDescent="0.2">
      <c r="A12" s="107"/>
      <c r="B12" s="181" t="s">
        <v>87</v>
      </c>
      <c r="C12" s="181"/>
      <c r="D12" s="181"/>
      <c r="E12" s="172"/>
      <c r="F12" s="33" t="s">
        <v>89</v>
      </c>
      <c r="G12" s="33"/>
      <c r="H12" s="33"/>
      <c r="I12" s="88"/>
      <c r="J12" s="5"/>
      <c r="K12" s="5"/>
      <c r="O12" s="28">
        <f>+O11+0.0025</f>
        <v>1.7500000000000002E-2</v>
      </c>
      <c r="Q12" s="29">
        <f t="shared" si="2"/>
        <v>8</v>
      </c>
      <c r="R12" s="25" t="s">
        <v>37</v>
      </c>
    </row>
    <row r="13" spans="1:21" ht="15.75" x14ac:dyDescent="0.25">
      <c r="A13" s="107"/>
      <c r="B13" s="182" t="s">
        <v>59</v>
      </c>
      <c r="C13" s="182"/>
      <c r="D13" s="182"/>
      <c r="E13" s="173"/>
      <c r="F13" s="33"/>
      <c r="G13" s="33"/>
      <c r="H13" s="33"/>
      <c r="I13" s="88"/>
      <c r="J13" s="5"/>
      <c r="K13" s="5"/>
      <c r="O13" s="28">
        <f>+O11+0.25%</f>
        <v>1.7500000000000002E-2</v>
      </c>
      <c r="Q13" s="29">
        <f t="shared" si="2"/>
        <v>9</v>
      </c>
      <c r="R13" s="25" t="s">
        <v>38</v>
      </c>
    </row>
    <row r="14" spans="1:21" ht="14.25" x14ac:dyDescent="0.2">
      <c r="A14" s="107"/>
      <c r="B14" s="89"/>
      <c r="C14" s="90"/>
      <c r="D14" s="91"/>
      <c r="E14" s="91"/>
      <c r="F14" s="91"/>
      <c r="G14" s="91"/>
      <c r="H14" s="91"/>
      <c r="I14" s="88"/>
      <c r="J14" s="5"/>
      <c r="K14" s="5"/>
      <c r="O14" s="28">
        <f>+O13+0.25%</f>
        <v>0.02</v>
      </c>
      <c r="Q14" s="29">
        <f t="shared" si="2"/>
        <v>10</v>
      </c>
      <c r="R14" s="25" t="s">
        <v>39</v>
      </c>
    </row>
    <row r="15" spans="1:21" ht="14.25" x14ac:dyDescent="0.2">
      <c r="A15" s="107"/>
      <c r="B15" s="184" t="s">
        <v>18</v>
      </c>
      <c r="C15" s="184"/>
      <c r="D15" s="165">
        <v>0</v>
      </c>
      <c r="E15" s="91"/>
      <c r="F15" s="91"/>
      <c r="G15" s="91"/>
      <c r="H15" s="91"/>
      <c r="I15" s="88"/>
      <c r="J15" s="5"/>
      <c r="K15" s="5"/>
      <c r="O15" s="28">
        <f>+O12+0.0025</f>
        <v>0.02</v>
      </c>
      <c r="Q15" s="29">
        <f t="shared" si="2"/>
        <v>11</v>
      </c>
      <c r="R15" s="25" t="s">
        <v>40</v>
      </c>
    </row>
    <row r="16" spans="1:21" ht="15" customHeight="1" thickBot="1" x14ac:dyDescent="0.25">
      <c r="A16" s="107"/>
      <c r="B16" s="180" t="s">
        <v>42</v>
      </c>
      <c r="C16" s="180"/>
      <c r="D16" s="180"/>
      <c r="E16" s="180"/>
      <c r="F16" s="180"/>
      <c r="G16" s="180"/>
      <c r="H16" s="180"/>
      <c r="I16" s="88"/>
      <c r="J16" s="5"/>
      <c r="K16" s="5"/>
      <c r="O16" s="28">
        <f t="shared" ref="O16:O23" si="3">+O15+0.0025</f>
        <v>2.2499999999999999E-2</v>
      </c>
      <c r="Q16" s="27">
        <f t="shared" ref="Q16" si="4">+Q15+1</f>
        <v>12</v>
      </c>
      <c r="R16" s="26" t="s">
        <v>41</v>
      </c>
    </row>
    <row r="17" spans="1:15" ht="15" customHeight="1" x14ac:dyDescent="0.2">
      <c r="A17" s="107"/>
      <c r="B17" s="180" t="s">
        <v>82</v>
      </c>
      <c r="C17" s="180"/>
      <c r="D17" s="180"/>
      <c r="E17" s="180"/>
      <c r="F17" s="180"/>
      <c r="G17" s="180"/>
      <c r="H17" s="180"/>
      <c r="I17" s="88"/>
      <c r="J17" s="5"/>
      <c r="K17" s="5"/>
      <c r="O17" s="28">
        <f t="shared" si="3"/>
        <v>2.4999999999999998E-2</v>
      </c>
    </row>
    <row r="18" spans="1:15" ht="14.25" x14ac:dyDescent="0.2">
      <c r="A18" s="107"/>
      <c r="B18" s="35"/>
      <c r="C18" s="35"/>
      <c r="D18" s="35"/>
      <c r="E18" s="35"/>
      <c r="F18" s="35"/>
      <c r="G18" s="35"/>
      <c r="H18" s="35"/>
      <c r="I18" s="88"/>
      <c r="J18" s="5"/>
      <c r="K18" s="5"/>
      <c r="O18" s="28">
        <f t="shared" si="3"/>
        <v>2.7499999999999997E-2</v>
      </c>
    </row>
    <row r="19" spans="1:15" ht="15.75" customHeight="1" x14ac:dyDescent="0.2">
      <c r="A19" s="107"/>
      <c r="B19" s="199" t="str">
        <f>"Nombre d'années de service créditées selon l'information du dernier relevé de l'Assomption Vie  ("&amp;$C$9&amp;")"</f>
        <v>Nombre d'années de service créditées selon l'information du dernier relevé de l'Assomption Vie  ()</v>
      </c>
      <c r="C19" s="199"/>
      <c r="D19" s="199"/>
      <c r="E19" s="199"/>
      <c r="F19" s="199"/>
      <c r="G19" s="199"/>
      <c r="H19" s="199"/>
      <c r="I19" s="88"/>
      <c r="J19" s="5"/>
      <c r="K19" s="5"/>
      <c r="O19" s="28">
        <f t="shared" si="3"/>
        <v>2.9999999999999995E-2</v>
      </c>
    </row>
    <row r="20" spans="1:15" ht="15.75" customHeight="1" x14ac:dyDescent="0.2">
      <c r="A20" s="107"/>
      <c r="B20" s="199"/>
      <c r="C20" s="199"/>
      <c r="D20" s="199"/>
      <c r="E20" s="199"/>
      <c r="F20" s="199"/>
      <c r="G20" s="199"/>
      <c r="H20" s="199"/>
      <c r="I20" s="88"/>
      <c r="J20" s="5"/>
      <c r="K20" s="5"/>
      <c r="O20" s="28">
        <f t="shared" si="3"/>
        <v>3.2499999999999994E-2</v>
      </c>
    </row>
    <row r="21" spans="1:15" ht="30" x14ac:dyDescent="0.2">
      <c r="A21" s="107"/>
      <c r="B21" s="153" t="s">
        <v>77</v>
      </c>
      <c r="C21" s="154" t="s">
        <v>79</v>
      </c>
      <c r="D21" s="154" t="s">
        <v>78</v>
      </c>
      <c r="E21" s="154" t="s">
        <v>81</v>
      </c>
      <c r="F21" s="154" t="s">
        <v>80</v>
      </c>
      <c r="G21" s="154" t="s">
        <v>66</v>
      </c>
      <c r="H21" s="154" t="s">
        <v>85</v>
      </c>
      <c r="I21" s="88"/>
      <c r="J21" s="5"/>
      <c r="O21" s="28">
        <f t="shared" si="3"/>
        <v>3.4999999999999996E-2</v>
      </c>
    </row>
    <row r="22" spans="1:15" ht="15" x14ac:dyDescent="0.2">
      <c r="A22" s="107"/>
      <c r="B22" s="166"/>
      <c r="C22" s="166"/>
      <c r="D22" s="166"/>
      <c r="E22" s="166"/>
      <c r="F22" s="166"/>
      <c r="G22" s="166"/>
      <c r="H22" s="143">
        <f>+SUM(B22:G22)</f>
        <v>0</v>
      </c>
      <c r="I22" s="88"/>
      <c r="J22" s="5"/>
      <c r="O22" s="28">
        <f t="shared" si="3"/>
        <v>3.7499999999999999E-2</v>
      </c>
    </row>
    <row r="23" spans="1:15" ht="15.75" thickBot="1" x14ac:dyDescent="0.3">
      <c r="A23" s="107"/>
      <c r="B23" s="33"/>
      <c r="C23" s="88"/>
      <c r="D23" s="155" t="s">
        <v>1</v>
      </c>
      <c r="E23" s="155" t="s">
        <v>0</v>
      </c>
      <c r="F23" s="156" t="s">
        <v>9</v>
      </c>
      <c r="G23" s="36"/>
      <c r="H23" s="35"/>
      <c r="I23" s="88"/>
      <c r="J23" s="5"/>
      <c r="K23" s="5"/>
      <c r="O23" s="32">
        <f t="shared" si="3"/>
        <v>0.04</v>
      </c>
    </row>
    <row r="24" spans="1:15" ht="15.75" x14ac:dyDescent="0.25">
      <c r="A24" s="107"/>
      <c r="B24" s="178" t="s">
        <v>48</v>
      </c>
      <c r="C24" s="179"/>
      <c r="D24" s="168"/>
      <c r="E24" s="168"/>
      <c r="F24" s="168"/>
      <c r="G24" s="38"/>
      <c r="H24" s="35"/>
      <c r="I24" s="88"/>
      <c r="J24" s="5"/>
      <c r="K24" s="5"/>
    </row>
    <row r="25" spans="1:15" ht="15.75" x14ac:dyDescent="0.25">
      <c r="A25" s="107"/>
      <c r="B25" s="157" t="s">
        <v>44</v>
      </c>
      <c r="C25" s="158"/>
      <c r="D25" s="167"/>
      <c r="E25" s="163"/>
      <c r="F25" s="159">
        <v>1</v>
      </c>
      <c r="G25" s="37"/>
      <c r="H25" s="35"/>
      <c r="I25" s="88"/>
      <c r="J25" s="5"/>
      <c r="K25" s="5"/>
    </row>
    <row r="26" spans="1:15" ht="17.25" x14ac:dyDescent="0.25">
      <c r="A26" s="107"/>
      <c r="B26" s="157" t="s">
        <v>43</v>
      </c>
      <c r="C26" s="158"/>
      <c r="D26" s="160">
        <f>IF(AND(E24=12,F24&gt;1),D24+66,D24+65)</f>
        <v>65</v>
      </c>
      <c r="E26" s="161">
        <f>IF(AND(F24=1,E24=12),E24,IF(E24=12,1,IF(F24=1,E24,E24+1)))</f>
        <v>1</v>
      </c>
      <c r="F26" s="162">
        <v>1</v>
      </c>
      <c r="G26" s="39"/>
      <c r="H26" s="35"/>
      <c r="I26" s="88"/>
      <c r="J26" s="40"/>
      <c r="K26" s="40"/>
    </row>
    <row r="27" spans="1:15" ht="14.25" x14ac:dyDescent="0.2">
      <c r="A27" s="108"/>
      <c r="B27" s="35"/>
      <c r="C27" s="35"/>
      <c r="D27" s="35"/>
      <c r="E27" s="92"/>
      <c r="F27" s="35"/>
      <c r="G27" s="35"/>
      <c r="H27" s="35"/>
      <c r="I27" s="109"/>
      <c r="J27" s="40"/>
      <c r="K27" s="40"/>
    </row>
    <row r="28" spans="1:15" ht="15.75" x14ac:dyDescent="0.25">
      <c r="A28" s="108"/>
      <c r="B28" s="41" t="s">
        <v>12</v>
      </c>
      <c r="C28" s="163"/>
      <c r="D28" s="163"/>
      <c r="E28" s="35"/>
      <c r="F28" s="33"/>
      <c r="G28" s="33"/>
      <c r="H28" s="33"/>
      <c r="I28" s="109"/>
      <c r="J28" s="40"/>
      <c r="K28" s="40"/>
      <c r="O28" s="4">
        <f>73572.31*(1-0.3%*60)</f>
        <v>60329.294200000004</v>
      </c>
    </row>
    <row r="29" spans="1:15" ht="18" customHeight="1" x14ac:dyDescent="0.2">
      <c r="A29" s="108"/>
      <c r="B29" s="33"/>
      <c r="C29" s="93" t="s">
        <v>15</v>
      </c>
      <c r="D29" s="94" t="s">
        <v>16</v>
      </c>
      <c r="E29" s="95"/>
      <c r="F29" s="33"/>
      <c r="G29" s="33"/>
      <c r="H29" s="33"/>
      <c r="I29" s="109"/>
      <c r="J29" s="40"/>
      <c r="K29" s="40"/>
    </row>
    <row r="30" spans="1:15" ht="15" x14ac:dyDescent="0.25">
      <c r="A30" s="108"/>
      <c r="B30" s="183" t="str">
        <f>IF(OR(C28-C10&lt;4,$J$2="Show"),"Attention","")</f>
        <v>Attention</v>
      </c>
      <c r="C30" s="183"/>
      <c r="D30" s="183"/>
      <c r="E30" s="183"/>
      <c r="F30" s="183"/>
      <c r="G30" s="183"/>
      <c r="H30" s="183"/>
      <c r="I30" s="109"/>
      <c r="J30" s="40"/>
      <c r="K30" s="40"/>
    </row>
    <row r="31" spans="1:15" ht="32.25" customHeight="1" x14ac:dyDescent="0.2">
      <c r="A31" s="108"/>
      <c r="B31" s="169" t="str">
        <f>IF(B30="","","L'estimation basée pour le salaire final pourrait être différente de la réalité étant donné les hypothèses du salaire moyen des trois dernières années qui sont utilisées pour approximer le résultat.")</f>
        <v>L'estimation basée pour le salaire final pourrait être différente de la réalité étant donné les hypothèses du salaire moyen des trois dernières années qui sont utilisées pour approximer le résultat.</v>
      </c>
      <c r="C31" s="169"/>
      <c r="D31" s="169"/>
      <c r="E31" s="169"/>
      <c r="F31" s="169"/>
      <c r="G31" s="169"/>
      <c r="H31" s="169"/>
      <c r="I31" s="109"/>
      <c r="J31" s="40"/>
      <c r="K31" s="40"/>
    </row>
    <row r="32" spans="1:15" ht="14.25" customHeight="1" thickBot="1" x14ac:dyDescent="0.25">
      <c r="A32" s="108"/>
      <c r="B32" s="35"/>
      <c r="C32" s="35"/>
      <c r="D32" s="35"/>
      <c r="E32" s="35"/>
      <c r="F32" s="35"/>
      <c r="G32" s="35"/>
      <c r="H32" s="35"/>
      <c r="I32" s="109"/>
      <c r="J32" s="40"/>
      <c r="K32" s="40"/>
    </row>
    <row r="33" spans="1:11" ht="15" customHeight="1" thickBot="1" x14ac:dyDescent="0.25">
      <c r="A33" s="108"/>
      <c r="B33" s="175" t="str">
        <f>IF(C5="","",C5)</f>
        <v/>
      </c>
      <c r="C33" s="176"/>
      <c r="D33" s="176"/>
      <c r="E33" s="176"/>
      <c r="F33" s="177"/>
      <c r="G33" s="134"/>
      <c r="H33" s="42"/>
      <c r="I33" s="109"/>
      <c r="J33" s="40"/>
      <c r="K33" s="40"/>
    </row>
    <row r="34" spans="1:11" ht="24.75" customHeight="1" thickBot="1" x14ac:dyDescent="0.25">
      <c r="A34" s="108"/>
      <c r="B34" s="188" t="s">
        <v>20</v>
      </c>
      <c r="C34" s="189"/>
      <c r="D34" s="190"/>
      <c r="E34" s="43" t="s">
        <v>13</v>
      </c>
      <c r="F34" s="44" t="s">
        <v>14</v>
      </c>
      <c r="G34" s="135"/>
      <c r="H34" s="39"/>
      <c r="I34" s="109"/>
      <c r="J34" s="40"/>
      <c r="K34" s="40"/>
    </row>
    <row r="35" spans="1:11" ht="15" thickBot="1" x14ac:dyDescent="0.25">
      <c r="A35" s="108"/>
      <c r="B35" s="191"/>
      <c r="C35" s="192"/>
      <c r="D35" s="193"/>
      <c r="E35" s="45">
        <f>MAX(0,IF(MAX(ROUND(IF(D25="",0,DATE(D25,E25,1)-DATE(C28,D28,1))/365.25*12,0),0)&gt;120,"Vous pouvez seulement vous retirer 10 ans avant votre date normale de retraite.",ROUND(IF(D25="",0,DATE(D25,E25,1)-DATE(C28,D28,1))/365.25*12,0)))</f>
        <v>0</v>
      </c>
      <c r="F35" s="46" t="e">
        <f>MAX(0,IF(MAX(ROUND((DATE(D26,E26,1)-DATE(C28,D28,1))/365.25*12,0),0)&gt;120,"Vous pouvez seulement vous retirer 10 ans avant votre date normale de retraite.",ROUND((DATE(D26,E26,1)-DATE(C28,D28,1))/365.25*12,0)))</f>
        <v>#NUM!</v>
      </c>
      <c r="G35" s="135"/>
      <c r="H35" s="39"/>
      <c r="I35" s="109"/>
      <c r="J35" s="40"/>
      <c r="K35" s="40"/>
    </row>
    <row r="36" spans="1:11" ht="21" thickBot="1" x14ac:dyDescent="0.35">
      <c r="A36" s="108"/>
      <c r="B36" s="132"/>
      <c r="C36" s="115"/>
      <c r="D36" s="115"/>
      <c r="E36" s="115"/>
      <c r="F36" s="115"/>
      <c r="G36" s="115"/>
      <c r="H36" s="115"/>
      <c r="I36" s="109"/>
      <c r="J36" s="5"/>
      <c r="K36" s="5"/>
    </row>
    <row r="37" spans="1:11" ht="15" x14ac:dyDescent="0.2">
      <c r="A37" s="107"/>
      <c r="B37" s="200" t="e">
        <f>CONCATENATE("Estimation de la prestation en date du : 1 ",VLOOKUP($D$28,$Q$5:$R$16,2,0)&amp;" "&amp;$C$28)</f>
        <v>#N/A</v>
      </c>
      <c r="C37" s="201"/>
      <c r="D37" s="201"/>
      <c r="E37" s="201"/>
      <c r="F37" s="202"/>
      <c r="G37" s="136"/>
      <c r="H37" s="47"/>
      <c r="I37" s="88"/>
      <c r="J37" s="5"/>
      <c r="K37" s="5"/>
    </row>
    <row r="38" spans="1:11" ht="15.75" thickBot="1" x14ac:dyDescent="0.25">
      <c r="A38" s="107"/>
      <c r="B38" s="203"/>
      <c r="C38" s="204"/>
      <c r="D38" s="204"/>
      <c r="E38" s="204"/>
      <c r="F38" s="205"/>
      <c r="G38" s="136"/>
      <c r="H38" s="47"/>
      <c r="I38" s="88"/>
      <c r="J38" s="5"/>
      <c r="K38" s="5"/>
    </row>
    <row r="39" spans="1:11" ht="16.5" thickBot="1" x14ac:dyDescent="0.3">
      <c r="A39" s="107"/>
      <c r="B39" s="185" t="s">
        <v>75</v>
      </c>
      <c r="C39" s="186"/>
      <c r="D39" s="186"/>
      <c r="E39" s="186"/>
      <c r="F39" s="187"/>
      <c r="G39" s="137"/>
      <c r="H39" s="48"/>
      <c r="I39" s="88"/>
      <c r="J39" s="5"/>
      <c r="K39" s="5"/>
    </row>
    <row r="40" spans="1:11" ht="5.0999999999999996" customHeight="1" x14ac:dyDescent="0.25">
      <c r="A40" s="107"/>
      <c r="B40" s="49"/>
      <c r="C40" s="50"/>
      <c r="D40" s="50"/>
      <c r="E40" s="51"/>
      <c r="F40" s="52"/>
      <c r="G40" s="50"/>
      <c r="H40" s="33"/>
      <c r="I40" s="88"/>
      <c r="J40" s="5"/>
      <c r="K40" s="5"/>
    </row>
    <row r="41" spans="1:11" ht="15" x14ac:dyDescent="0.25">
      <c r="A41" s="107"/>
      <c r="B41" s="53" t="str">
        <f>"Prestation annuelle le "&amp;E72&amp;" avant réduction"</f>
        <v>Prestation annuelle le  avant réduction</v>
      </c>
      <c r="C41" s="54"/>
      <c r="D41" s="55"/>
      <c r="E41" s="56" t="e">
        <f>E89</f>
        <v>#N/A</v>
      </c>
      <c r="F41" s="52"/>
      <c r="G41" s="50"/>
      <c r="H41" s="33"/>
      <c r="I41" s="88"/>
      <c r="J41" s="5"/>
      <c r="K41" s="5"/>
    </row>
    <row r="42" spans="1:11" ht="14.25" x14ac:dyDescent="0.2">
      <c r="A42" s="107"/>
      <c r="B42" s="57" t="s">
        <v>23</v>
      </c>
      <c r="C42" s="50"/>
      <c r="D42" s="50"/>
      <c r="E42" s="58">
        <f>E35*0.3%</f>
        <v>0</v>
      </c>
      <c r="F42" s="52"/>
      <c r="G42" s="50"/>
      <c r="H42" s="33"/>
      <c r="I42" s="88"/>
      <c r="J42" s="5"/>
      <c r="K42" s="5"/>
    </row>
    <row r="43" spans="1:11" ht="15" x14ac:dyDescent="0.25">
      <c r="A43" s="107"/>
      <c r="B43" s="53" t="s">
        <v>24</v>
      </c>
      <c r="C43" s="50"/>
      <c r="D43" s="50"/>
      <c r="E43" s="59" t="e">
        <f>E41*E42</f>
        <v>#N/A</v>
      </c>
      <c r="F43" s="52"/>
      <c r="G43" s="50"/>
      <c r="H43" s="33"/>
      <c r="I43" s="88"/>
      <c r="J43" s="5"/>
      <c r="K43" s="5"/>
    </row>
    <row r="44" spans="1:11" ht="5.0999999999999996" customHeight="1" x14ac:dyDescent="0.2">
      <c r="A44" s="107"/>
      <c r="B44" s="57"/>
      <c r="C44" s="50"/>
      <c r="D44" s="50"/>
      <c r="E44" s="51"/>
      <c r="F44" s="60"/>
      <c r="G44" s="54"/>
      <c r="H44" s="61"/>
      <c r="I44" s="88"/>
      <c r="J44" s="5"/>
      <c r="K44" s="5"/>
    </row>
    <row r="45" spans="1:11" ht="14.25" x14ac:dyDescent="0.2">
      <c r="A45" s="107"/>
      <c r="B45" s="62" t="s">
        <v>19</v>
      </c>
      <c r="C45" s="54"/>
      <c r="D45" s="54"/>
      <c r="E45" s="116">
        <f>B22+C22+F22+D22</f>
        <v>0</v>
      </c>
      <c r="F45" s="60"/>
      <c r="G45" s="54"/>
      <c r="H45" s="61"/>
      <c r="I45" s="88"/>
      <c r="J45" s="5"/>
      <c r="K45" s="5"/>
    </row>
    <row r="46" spans="1:11" ht="15.75" thickBot="1" x14ac:dyDescent="0.3">
      <c r="A46" s="107"/>
      <c r="B46" s="63" t="s">
        <v>17</v>
      </c>
      <c r="C46" s="64"/>
      <c r="D46" s="64"/>
      <c r="E46" s="65" t="e">
        <f>MIN(E87,86111)</f>
        <v>#N/A</v>
      </c>
      <c r="F46" s="66"/>
      <c r="G46" s="54"/>
      <c r="H46" s="61"/>
      <c r="I46" s="88"/>
      <c r="J46" s="5"/>
      <c r="K46" s="5"/>
    </row>
    <row r="47" spans="1:11" ht="15.75" thickBot="1" x14ac:dyDescent="0.3">
      <c r="A47" s="107"/>
      <c r="B47" s="67" t="s">
        <v>26</v>
      </c>
      <c r="C47" s="68"/>
      <c r="D47" s="68"/>
      <c r="E47" s="69"/>
      <c r="F47" s="70" t="e">
        <f>+E41-E43</f>
        <v>#N/A</v>
      </c>
      <c r="G47" s="138"/>
      <c r="H47" s="71"/>
      <c r="I47" s="88"/>
      <c r="J47" s="5"/>
      <c r="K47" s="5"/>
    </row>
    <row r="48" spans="1:11" ht="15.75" thickBot="1" x14ac:dyDescent="0.3">
      <c r="A48" s="107"/>
      <c r="B48" s="96"/>
      <c r="C48" s="61"/>
      <c r="D48" s="61"/>
      <c r="E48" s="97"/>
      <c r="F48" s="33"/>
      <c r="G48" s="33"/>
      <c r="H48" s="33"/>
      <c r="I48" s="88"/>
      <c r="J48" s="5"/>
      <c r="K48" s="5"/>
    </row>
    <row r="49" spans="1:11" ht="16.5" thickBot="1" x14ac:dyDescent="0.3">
      <c r="A49" s="107"/>
      <c r="B49" s="185" t="s">
        <v>76</v>
      </c>
      <c r="C49" s="186"/>
      <c r="D49" s="186"/>
      <c r="E49" s="186"/>
      <c r="F49" s="187"/>
      <c r="G49" s="137"/>
      <c r="H49" s="48"/>
      <c r="I49" s="88"/>
      <c r="J49" s="5"/>
      <c r="K49" s="5"/>
    </row>
    <row r="50" spans="1:11" ht="5.0999999999999996" customHeight="1" x14ac:dyDescent="0.2">
      <c r="A50" s="107"/>
      <c r="B50" s="57"/>
      <c r="C50" s="50"/>
      <c r="D50" s="50"/>
      <c r="E50" s="51"/>
      <c r="F50" s="72"/>
      <c r="G50" s="139"/>
      <c r="H50" s="73"/>
      <c r="I50" s="88"/>
      <c r="J50" s="5"/>
      <c r="K50" s="5"/>
    </row>
    <row r="51" spans="1:11" ht="15" x14ac:dyDescent="0.25">
      <c r="A51" s="107"/>
      <c r="B51" s="49" t="str">
        <f>"Prestation annuelle le "&amp;E72&amp;" avant réduction"</f>
        <v>Prestation annuelle le  avant réduction</v>
      </c>
      <c r="C51" s="54"/>
      <c r="D51" s="54"/>
      <c r="E51" s="56" t="e">
        <f>E90</f>
        <v>#N/A</v>
      </c>
      <c r="F51" s="52"/>
      <c r="G51" s="50"/>
      <c r="H51" s="33"/>
      <c r="I51" s="88"/>
      <c r="J51" s="5"/>
      <c r="K51" s="5"/>
    </row>
    <row r="52" spans="1:11" ht="14.25" x14ac:dyDescent="0.2">
      <c r="A52" s="107"/>
      <c r="B52" s="57" t="s">
        <v>23</v>
      </c>
      <c r="C52" s="54"/>
      <c r="D52" s="55"/>
      <c r="E52" s="58" t="e">
        <f>F35*0.3%</f>
        <v>#NUM!</v>
      </c>
      <c r="F52" s="52"/>
      <c r="G52" s="50"/>
      <c r="H52" s="33"/>
      <c r="I52" s="88"/>
      <c r="J52" s="5"/>
      <c r="K52" s="5"/>
    </row>
    <row r="53" spans="1:11" ht="15" x14ac:dyDescent="0.25">
      <c r="A53" s="107"/>
      <c r="B53" s="53" t="s">
        <v>24</v>
      </c>
      <c r="C53" s="54"/>
      <c r="D53" s="55"/>
      <c r="E53" s="59" t="e">
        <f>E51*E52</f>
        <v>#N/A</v>
      </c>
      <c r="F53" s="52"/>
      <c r="G53" s="50"/>
      <c r="H53" s="33"/>
      <c r="I53" s="88"/>
      <c r="J53" s="5"/>
      <c r="K53" s="5"/>
    </row>
    <row r="54" spans="1:11" ht="5.0999999999999996" customHeight="1" x14ac:dyDescent="0.25">
      <c r="A54" s="110"/>
      <c r="B54" s="74"/>
      <c r="C54" s="54"/>
      <c r="D54" s="55"/>
      <c r="E54" s="51"/>
      <c r="F54" s="60"/>
      <c r="G54" s="54"/>
      <c r="H54" s="61"/>
      <c r="I54" s="111"/>
      <c r="J54" s="5"/>
      <c r="K54" s="5"/>
    </row>
    <row r="55" spans="1:11" ht="14.25" x14ac:dyDescent="0.2">
      <c r="A55" s="107"/>
      <c r="B55" s="57" t="s">
        <v>71</v>
      </c>
      <c r="C55" s="54"/>
      <c r="D55" s="55"/>
      <c r="E55" s="116">
        <f>E22</f>
        <v>0</v>
      </c>
      <c r="F55" s="60" t="s">
        <v>22</v>
      </c>
      <c r="G55" s="54"/>
      <c r="H55" s="61"/>
      <c r="I55" s="88"/>
      <c r="J55" s="5"/>
      <c r="K55" s="5"/>
    </row>
    <row r="56" spans="1:11" ht="15.75" thickBot="1" x14ac:dyDescent="0.3">
      <c r="A56" s="107"/>
      <c r="B56" s="74" t="s">
        <v>21</v>
      </c>
      <c r="C56" s="64"/>
      <c r="D56" s="75"/>
      <c r="E56" s="65" t="e">
        <f>$D$87</f>
        <v>#N/A</v>
      </c>
      <c r="F56" s="76" t="e">
        <f>$E$87</f>
        <v>#N/A</v>
      </c>
      <c r="G56" s="140"/>
      <c r="H56" s="77"/>
      <c r="I56" s="88"/>
      <c r="J56" s="5"/>
      <c r="K56" s="5"/>
    </row>
    <row r="57" spans="1:11" ht="15.75" thickBot="1" x14ac:dyDescent="0.3">
      <c r="A57" s="107"/>
      <c r="B57" s="67" t="s">
        <v>27</v>
      </c>
      <c r="C57" s="78"/>
      <c r="D57" s="78"/>
      <c r="E57" s="79"/>
      <c r="F57" s="70" t="e">
        <f>+E51-E53</f>
        <v>#N/A</v>
      </c>
      <c r="G57" s="138"/>
      <c r="H57" s="71"/>
      <c r="I57" s="88"/>
      <c r="J57" s="5"/>
      <c r="K57" s="5"/>
    </row>
    <row r="58" spans="1:11" ht="15.75" thickBot="1" x14ac:dyDescent="0.3">
      <c r="A58" s="107"/>
      <c r="B58" s="96"/>
      <c r="C58" s="61"/>
      <c r="D58" s="61"/>
      <c r="E58" s="97"/>
      <c r="F58" s="33"/>
      <c r="G58" s="33"/>
      <c r="H58" s="33"/>
      <c r="I58" s="88"/>
      <c r="J58" s="5"/>
      <c r="K58" s="5"/>
    </row>
    <row r="59" spans="1:11" ht="16.5" thickBot="1" x14ac:dyDescent="0.3">
      <c r="A59" s="107"/>
      <c r="B59" s="185" t="s">
        <v>69</v>
      </c>
      <c r="C59" s="186"/>
      <c r="D59" s="186"/>
      <c r="E59" s="186"/>
      <c r="F59" s="187"/>
      <c r="G59" s="137"/>
      <c r="H59" s="48"/>
      <c r="I59" s="88"/>
      <c r="J59" s="5"/>
      <c r="K59" s="5"/>
    </row>
    <row r="60" spans="1:11" ht="5.0999999999999996" customHeight="1" x14ac:dyDescent="0.2">
      <c r="A60" s="107"/>
      <c r="B60" s="57"/>
      <c r="C60" s="50"/>
      <c r="D60" s="50"/>
      <c r="E60" s="51"/>
      <c r="F60" s="72"/>
      <c r="G60" s="139"/>
      <c r="H60" s="73"/>
      <c r="I60" s="88"/>
      <c r="J60" s="5"/>
      <c r="K60" s="5"/>
    </row>
    <row r="61" spans="1:11" ht="15" x14ac:dyDescent="0.25">
      <c r="A61" s="107"/>
      <c r="B61" s="49" t="str">
        <f>"Prestation annuelle le "&amp;E84&amp;" avant réduction"</f>
        <v>Prestation annuelle le  avant réduction</v>
      </c>
      <c r="C61" s="54"/>
      <c r="D61" s="54"/>
      <c r="E61" s="56" t="e">
        <f>E91</f>
        <v>#N/A</v>
      </c>
      <c r="F61" s="52"/>
      <c r="G61" s="50"/>
      <c r="H61" s="33"/>
      <c r="I61" s="88"/>
      <c r="J61" s="5"/>
      <c r="K61" s="5"/>
    </row>
    <row r="62" spans="1:11" ht="14.25" x14ac:dyDescent="0.2">
      <c r="A62" s="107"/>
      <c r="B62" s="57" t="s">
        <v>23</v>
      </c>
      <c r="C62" s="54"/>
      <c r="D62" s="55"/>
      <c r="E62" s="58" t="e">
        <f>F35*0.3%</f>
        <v>#NUM!</v>
      </c>
      <c r="F62" s="52"/>
      <c r="G62" s="50"/>
      <c r="H62" s="33"/>
      <c r="I62" s="88"/>
      <c r="J62" s="5"/>
      <c r="K62" s="5"/>
    </row>
    <row r="63" spans="1:11" ht="15" x14ac:dyDescent="0.25">
      <c r="A63" s="107"/>
      <c r="B63" s="53" t="s">
        <v>24</v>
      </c>
      <c r="C63" s="54"/>
      <c r="D63" s="55"/>
      <c r="E63" s="59" t="e">
        <f>E61*E62</f>
        <v>#N/A</v>
      </c>
      <c r="F63" s="52"/>
      <c r="G63" s="50"/>
      <c r="H63" s="33"/>
      <c r="I63" s="88"/>
      <c r="J63" s="5"/>
      <c r="K63" s="5"/>
    </row>
    <row r="64" spans="1:11" ht="5.0999999999999996" customHeight="1" x14ac:dyDescent="0.25">
      <c r="A64" s="110"/>
      <c r="B64" s="74"/>
      <c r="C64" s="54"/>
      <c r="D64" s="55"/>
      <c r="E64" s="51"/>
      <c r="F64" s="60"/>
      <c r="G64" s="54"/>
      <c r="H64" s="61"/>
      <c r="I64" s="111"/>
      <c r="J64" s="5"/>
      <c r="K64" s="5"/>
    </row>
    <row r="65" spans="1:11" ht="14.25" x14ac:dyDescent="0.2">
      <c r="A65" s="107"/>
      <c r="B65" s="57" t="s">
        <v>72</v>
      </c>
      <c r="C65" s="54"/>
      <c r="D65" s="55"/>
      <c r="E65" s="116" t="e">
        <f>ROUND(ROUND(YEARFRAC(DATE(C28,D28,1),EOMONTH(DATE(C9,D9,E9),0),0)*12,0)/12+G22,4)</f>
        <v>#NUM!</v>
      </c>
      <c r="F65" s="60" t="s">
        <v>22</v>
      </c>
      <c r="G65" s="54"/>
      <c r="H65" s="61"/>
      <c r="I65" s="88"/>
      <c r="J65" s="5"/>
      <c r="K65" s="5"/>
    </row>
    <row r="66" spans="1:11" ht="15.75" thickBot="1" x14ac:dyDescent="0.3">
      <c r="A66" s="107"/>
      <c r="B66" s="74" t="s">
        <v>21</v>
      </c>
      <c r="C66" s="64"/>
      <c r="D66" s="75"/>
      <c r="E66" s="65" t="e">
        <f>$D$87</f>
        <v>#N/A</v>
      </c>
      <c r="F66" s="76" t="e">
        <f>$E$87</f>
        <v>#N/A</v>
      </c>
      <c r="G66" s="140"/>
      <c r="H66" s="77"/>
      <c r="I66" s="88"/>
      <c r="J66" s="5"/>
      <c r="K66" s="5"/>
    </row>
    <row r="67" spans="1:11" ht="15.75" thickBot="1" x14ac:dyDescent="0.3">
      <c r="A67" s="107"/>
      <c r="B67" s="67" t="s">
        <v>70</v>
      </c>
      <c r="C67" s="78"/>
      <c r="D67" s="78"/>
      <c r="E67" s="79"/>
      <c r="F67" s="70" t="e">
        <f>+E61-E63</f>
        <v>#N/A</v>
      </c>
      <c r="G67" s="138"/>
      <c r="H67" s="71"/>
      <c r="I67" s="88"/>
      <c r="J67" s="5"/>
      <c r="K67" s="5"/>
    </row>
    <row r="68" spans="1:11" ht="21" customHeight="1" x14ac:dyDescent="0.3">
      <c r="A68" s="107"/>
      <c r="B68" s="119" t="e">
        <f>CONCATENATE("Estimation votre prestation à la retraite au ","1 "&amp;VLOOKUP($D$28,$Q$5:$R$16,2,0)&amp;" "&amp;$C$28)</f>
        <v>#N/A</v>
      </c>
      <c r="C68" s="120"/>
      <c r="D68" s="120"/>
      <c r="E68" s="118"/>
      <c r="F68" s="194" t="e">
        <f>+F57+F47</f>
        <v>#N/A</v>
      </c>
      <c r="G68" s="141"/>
      <c r="H68" s="80"/>
      <c r="I68" s="88"/>
      <c r="J68" s="5"/>
      <c r="K68" s="5"/>
    </row>
    <row r="69" spans="1:11" ht="15" customHeight="1" x14ac:dyDescent="0.3">
      <c r="A69" s="107"/>
      <c r="B69" s="124" t="s">
        <v>73</v>
      </c>
      <c r="C69" s="122"/>
      <c r="D69" s="122"/>
      <c r="E69" s="123"/>
      <c r="F69" s="195"/>
      <c r="G69" s="141"/>
      <c r="H69" s="80"/>
      <c r="I69" s="88"/>
      <c r="J69" s="5"/>
      <c r="K69" s="5"/>
    </row>
    <row r="70" spans="1:11" ht="21" customHeight="1" x14ac:dyDescent="0.3">
      <c r="A70" s="107"/>
      <c r="B70" s="121" t="e">
        <f>CONCATENATE("Estimation totale de votre prestation à la retraite au ","1 "&amp;VLOOKUP($D$28,$Q$5:$R$16,2,0)&amp;" "&amp;$C$28)</f>
        <v>#N/A</v>
      </c>
      <c r="C70" s="122"/>
      <c r="D70" s="122"/>
      <c r="E70" s="123"/>
      <c r="F70" s="195" t="e">
        <f>F67</f>
        <v>#N/A</v>
      </c>
      <c r="G70" s="141"/>
      <c r="H70" s="80"/>
      <c r="I70" s="88"/>
      <c r="J70" s="5"/>
      <c r="K70" s="5"/>
    </row>
    <row r="71" spans="1:11" ht="21" customHeight="1" thickBot="1" x14ac:dyDescent="0.35">
      <c r="A71" s="107"/>
      <c r="B71" s="128" t="str">
        <f>CONCATENATE(,"(avec indexation selon IPC calculé au 31 octobre de l'année précédente à partir du 1 janvier ",C28+1,")*")</f>
        <v>(avec indexation selon IPC calculé au 31 octobre de l'année précédente à partir du 1 janvier 1)*</v>
      </c>
      <c r="C71" s="129"/>
      <c r="D71" s="129"/>
      <c r="E71" s="130"/>
      <c r="F71" s="196"/>
      <c r="G71" s="141"/>
      <c r="H71" s="80"/>
      <c r="I71" s="88"/>
      <c r="J71" s="5"/>
      <c r="K71" s="5"/>
    </row>
    <row r="72" spans="1:11" ht="21" customHeight="1" thickTop="1" thickBot="1" x14ac:dyDescent="0.35">
      <c r="A72" s="107"/>
      <c r="B72" s="125" t="e">
        <f>CONCATENATE("Estimation totale de votre prestation à la retraite au ","1 "&amp;VLOOKUP($D$28,$Q$5:$R$16,2,0)&amp;" "&amp;$C$28)</f>
        <v>#N/A</v>
      </c>
      <c r="C72" s="126"/>
      <c r="D72" s="126"/>
      <c r="E72" s="117"/>
      <c r="F72" s="127" t="e">
        <f>F68+F70</f>
        <v>#N/A</v>
      </c>
      <c r="G72" s="142"/>
      <c r="H72" s="80"/>
      <c r="I72" s="88"/>
      <c r="J72" s="5"/>
      <c r="K72" s="5"/>
    </row>
    <row r="73" spans="1:11" ht="18.75" thickBot="1" x14ac:dyDescent="0.3">
      <c r="A73" s="107"/>
      <c r="B73" s="81" t="s">
        <v>46</v>
      </c>
      <c r="C73" s="82"/>
      <c r="D73" s="82"/>
      <c r="E73" s="83" t="e">
        <f>+E53+E43+E63</f>
        <v>#N/A</v>
      </c>
      <c r="F73" s="98"/>
      <c r="G73" s="98"/>
      <c r="H73" s="98"/>
      <c r="I73" s="88"/>
      <c r="J73" s="5"/>
      <c r="K73" s="5"/>
    </row>
    <row r="74" spans="1:11" ht="5.0999999999999996" customHeight="1" x14ac:dyDescent="0.2">
      <c r="A74" s="107"/>
      <c r="B74" s="35"/>
      <c r="C74" s="35"/>
      <c r="D74" s="35"/>
      <c r="E74" s="35"/>
      <c r="F74" s="35"/>
      <c r="G74" s="35"/>
      <c r="H74" s="35"/>
      <c r="I74" s="88"/>
      <c r="J74" s="5"/>
      <c r="K74" s="5"/>
    </row>
    <row r="75" spans="1:11" ht="15" x14ac:dyDescent="0.25">
      <c r="A75" s="107"/>
      <c r="B75" s="36" t="s">
        <v>32</v>
      </c>
      <c r="C75" s="33"/>
      <c r="D75" s="33"/>
      <c r="E75" s="33"/>
      <c r="F75" s="33"/>
      <c r="G75" s="33"/>
      <c r="H75" s="33"/>
      <c r="I75" s="88"/>
      <c r="J75" s="5"/>
      <c r="K75" s="5"/>
    </row>
    <row r="76" spans="1:11" ht="57.75" customHeight="1" x14ac:dyDescent="0.2">
      <c r="A76" s="107"/>
      <c r="B76" s="174" t="s">
        <v>31</v>
      </c>
      <c r="C76" s="174"/>
      <c r="D76" s="174"/>
      <c r="E76" s="174"/>
      <c r="F76" s="174"/>
      <c r="G76" s="174"/>
      <c r="H76" s="174"/>
      <c r="I76" s="88"/>
      <c r="J76" s="5"/>
      <c r="K76" s="5"/>
    </row>
    <row r="77" spans="1:11" ht="15" x14ac:dyDescent="0.25">
      <c r="A77" s="107"/>
      <c r="B77" s="133" t="s">
        <v>83</v>
      </c>
      <c r="C77" s="33"/>
      <c r="D77" s="33"/>
      <c r="E77" s="33"/>
      <c r="F77" s="33"/>
      <c r="G77" s="33"/>
      <c r="H77" s="33"/>
      <c r="I77" s="88"/>
      <c r="J77" s="5"/>
      <c r="K77" s="5"/>
    </row>
    <row r="78" spans="1:11" ht="74.25" customHeight="1" x14ac:dyDescent="0.2">
      <c r="A78" s="107"/>
      <c r="B78" s="174" t="s">
        <v>84</v>
      </c>
      <c r="C78" s="174"/>
      <c r="D78" s="174"/>
      <c r="E78" s="174"/>
      <c r="F78" s="174"/>
      <c r="G78" s="174"/>
      <c r="H78" s="174"/>
      <c r="I78" s="88"/>
      <c r="J78" s="5"/>
      <c r="K78" s="5"/>
    </row>
    <row r="79" spans="1:11" ht="14.25" customHeight="1" x14ac:dyDescent="0.2">
      <c r="A79" s="112"/>
      <c r="B79" s="113"/>
      <c r="C79" s="113"/>
      <c r="D79" s="113"/>
      <c r="E79" s="113"/>
      <c r="F79" s="113"/>
      <c r="G79" s="113"/>
      <c r="H79" s="113"/>
      <c r="I79" s="114"/>
      <c r="J79" s="5"/>
      <c r="K79" s="5"/>
    </row>
    <row r="80" spans="1:11" ht="14.25" hidden="1" x14ac:dyDescent="0.2">
      <c r="A80" s="33"/>
      <c r="B80" s="5"/>
      <c r="C80" s="5"/>
      <c r="D80" s="5"/>
      <c r="E80" s="5"/>
      <c r="F80" s="5"/>
      <c r="G80" s="5"/>
      <c r="H80" s="5"/>
      <c r="I80" s="33"/>
      <c r="J80" s="5"/>
      <c r="K80" s="5"/>
    </row>
    <row r="81" spans="1:11" ht="14.25" hidden="1" x14ac:dyDescent="0.2">
      <c r="A81" s="33"/>
      <c r="B81" s="5"/>
      <c r="C81" s="5"/>
      <c r="D81" s="5"/>
      <c r="E81" s="5"/>
      <c r="F81" s="5"/>
      <c r="G81" s="5"/>
      <c r="H81" s="5"/>
      <c r="I81" s="33"/>
      <c r="J81" s="85"/>
      <c r="K81" s="85"/>
    </row>
    <row r="82" spans="1:11" ht="14.25" hidden="1" x14ac:dyDescent="0.2">
      <c r="A82" s="86"/>
      <c r="B82" s="84"/>
      <c r="C82" s="84"/>
      <c r="D82" s="84"/>
      <c r="E82" s="84"/>
      <c r="F82" s="84"/>
      <c r="G82" s="84"/>
      <c r="H82" s="84"/>
      <c r="I82" s="86"/>
      <c r="J82" s="85"/>
      <c r="K82" s="85"/>
    </row>
    <row r="83" spans="1:11" ht="14.25" hidden="1" x14ac:dyDescent="0.2">
      <c r="A83" s="86"/>
      <c r="B83" s="84"/>
      <c r="C83" s="84"/>
      <c r="D83" s="84"/>
      <c r="E83" s="84"/>
      <c r="F83" s="84"/>
      <c r="G83" s="84"/>
      <c r="H83" s="84"/>
      <c r="I83" s="86"/>
      <c r="J83" s="85"/>
      <c r="K83" s="85"/>
    </row>
    <row r="84" spans="1:11" ht="14.25" hidden="1" x14ac:dyDescent="0.2">
      <c r="A84" s="86"/>
      <c r="B84" s="84"/>
      <c r="C84" s="84"/>
      <c r="D84" s="84"/>
      <c r="E84" s="84"/>
      <c r="F84" s="84"/>
      <c r="G84" s="84"/>
      <c r="H84" s="84"/>
      <c r="I84" s="86"/>
      <c r="J84" s="85"/>
      <c r="K84" s="85"/>
    </row>
    <row r="85" spans="1:11" ht="14.25" hidden="1" x14ac:dyDescent="0.2">
      <c r="A85" s="86"/>
      <c r="B85" s="5"/>
      <c r="C85" s="5"/>
      <c r="D85" s="5"/>
      <c r="E85" s="5"/>
      <c r="F85" s="5"/>
      <c r="G85" s="5"/>
      <c r="H85" s="5"/>
      <c r="I85" s="86"/>
      <c r="J85" s="85"/>
      <c r="K85" s="85"/>
    </row>
    <row r="86" spans="1:11" ht="14.25" hidden="1" x14ac:dyDescent="0.2">
      <c r="A86" s="86"/>
      <c r="B86" s="21"/>
      <c r="C86" s="21"/>
      <c r="D86" s="6"/>
      <c r="E86" s="8" t="s">
        <v>8</v>
      </c>
      <c r="F86" s="5"/>
      <c r="G86" s="5"/>
      <c r="H86" s="5"/>
      <c r="I86" s="86"/>
      <c r="J86" s="40"/>
      <c r="K86" s="40"/>
    </row>
    <row r="87" spans="1:11" ht="14.25" hidden="1" x14ac:dyDescent="0.2">
      <c r="A87" s="33"/>
      <c r="B87" s="21" t="s">
        <v>5</v>
      </c>
      <c r="C87" s="21"/>
      <c r="D87" s="15" t="e">
        <f>Calculatrice!M20</f>
        <v>#N/A</v>
      </c>
      <c r="E87" s="14" t="e">
        <f>MIN($D$87,Calculatrice!M21)</f>
        <v>#N/A</v>
      </c>
      <c r="F87" s="5"/>
      <c r="G87" s="5"/>
      <c r="H87" s="5"/>
      <c r="I87" s="33"/>
      <c r="J87" s="5"/>
      <c r="K87" s="5"/>
    </row>
    <row r="88" spans="1:11" ht="14.25" hidden="1" x14ac:dyDescent="0.2">
      <c r="A88" s="33"/>
      <c r="B88" s="21"/>
      <c r="C88" s="21"/>
      <c r="D88" s="6"/>
      <c r="E88" s="7"/>
      <c r="F88" s="5"/>
      <c r="G88" s="5"/>
      <c r="H88" s="5"/>
      <c r="I88" s="33"/>
      <c r="J88" s="5"/>
      <c r="K88" s="5"/>
    </row>
    <row r="89" spans="1:11" ht="14.25" hidden="1" x14ac:dyDescent="0.2">
      <c r="A89" s="33"/>
      <c r="B89" s="21" t="s">
        <v>7</v>
      </c>
      <c r="C89" s="21"/>
      <c r="D89" s="10"/>
      <c r="E89" s="9" t="e">
        <f>((MIN(E87,86111)*(B22+C22+F22)+MIN(E87,57500)*D22)*2%)</f>
        <v>#N/A</v>
      </c>
      <c r="F89" s="5"/>
      <c r="G89" s="5"/>
      <c r="H89" s="5"/>
      <c r="I89" s="33"/>
      <c r="J89" s="5"/>
      <c r="K89" s="5"/>
    </row>
    <row r="90" spans="1:11" ht="14.25" hidden="1" x14ac:dyDescent="0.2">
      <c r="A90" s="33"/>
      <c r="B90" s="21" t="s">
        <v>67</v>
      </c>
      <c r="C90" s="21"/>
      <c r="D90" s="10"/>
      <c r="E90" s="9" t="e">
        <f>(E87*ROUND(E22,4)*1.5%)</f>
        <v>#N/A</v>
      </c>
      <c r="F90" s="5"/>
      <c r="G90" s="5"/>
      <c r="H90" s="5"/>
      <c r="I90" s="33"/>
      <c r="J90" s="5"/>
      <c r="K90" s="5"/>
    </row>
    <row r="91" spans="1:11" ht="14.25" hidden="1" x14ac:dyDescent="0.2">
      <c r="A91" s="33"/>
      <c r="B91" s="21" t="s">
        <v>68</v>
      </c>
      <c r="C91" s="21"/>
      <c r="D91" s="5"/>
      <c r="E91" s="9" t="e">
        <f>(E87*ROUND(YEARFRAC(DATE(C28,D28,1),DATE($C$9+1,1,1),0)+G22,4)*1.5%)</f>
        <v>#N/A</v>
      </c>
      <c r="F91" s="5"/>
      <c r="G91" s="5"/>
      <c r="H91" s="5"/>
      <c r="I91" s="33"/>
      <c r="J91" s="5"/>
      <c r="K91" s="5"/>
    </row>
    <row r="92" spans="1:11" ht="14.25" hidden="1" x14ac:dyDescent="0.2">
      <c r="A92" s="33"/>
      <c r="B92" s="5"/>
      <c r="C92" s="5"/>
      <c r="D92" s="5"/>
      <c r="E92" s="5"/>
      <c r="F92" s="5"/>
      <c r="G92" s="5"/>
      <c r="H92" s="5"/>
      <c r="I92" s="33"/>
      <c r="J92" s="5"/>
      <c r="K92" s="5"/>
    </row>
    <row r="93" spans="1:11" ht="14.25" hidden="1" x14ac:dyDescent="0.2">
      <c r="A93" s="33"/>
      <c r="B93" s="5" t="s">
        <v>74</v>
      </c>
      <c r="C93" s="5"/>
      <c r="D93" s="5"/>
      <c r="E93" s="131" t="e">
        <f>+DATE(C28,D28,1)</f>
        <v>#NUM!</v>
      </c>
      <c r="F93" s="5"/>
      <c r="G93" s="5"/>
      <c r="H93" s="5"/>
      <c r="I93" s="33"/>
      <c r="J93" s="5"/>
      <c r="K93" s="5"/>
    </row>
    <row r="94" spans="1:11" ht="14.25" hidden="1" x14ac:dyDescent="0.2">
      <c r="A94" s="33"/>
      <c r="B94" s="5"/>
      <c r="C94" s="5"/>
      <c r="D94" s="5"/>
      <c r="E94" s="5"/>
      <c r="F94" s="5"/>
      <c r="G94" s="5"/>
      <c r="H94" s="5"/>
      <c r="I94" s="33"/>
      <c r="J94" s="5"/>
      <c r="K94" s="5"/>
    </row>
    <row r="95" spans="1:11" ht="14.25" hidden="1" x14ac:dyDescent="0.2">
      <c r="A95" s="33"/>
      <c r="B95" s="5"/>
      <c r="C95" s="5"/>
      <c r="D95" s="5"/>
      <c r="E95" s="5"/>
      <c r="F95" s="5"/>
      <c r="G95" s="5"/>
      <c r="H95" s="5"/>
      <c r="I95" s="33"/>
      <c r="J95" s="5"/>
      <c r="K95" s="5"/>
    </row>
    <row r="96" spans="1:11" ht="14.25" hidden="1" x14ac:dyDescent="0.2">
      <c r="A96" s="33"/>
      <c r="B96" s="5"/>
      <c r="C96" s="5"/>
      <c r="D96" s="5"/>
      <c r="E96" s="5"/>
      <c r="F96" s="5"/>
      <c r="G96" s="5"/>
      <c r="H96" s="5"/>
      <c r="I96" s="33"/>
      <c r="J96" s="5"/>
      <c r="K96" s="5"/>
    </row>
    <row r="97" spans="1:11" ht="14.25" hidden="1" x14ac:dyDescent="0.2">
      <c r="A97" s="33"/>
      <c r="B97" s="5"/>
      <c r="C97" s="5"/>
      <c r="D97" s="5"/>
      <c r="E97" s="5"/>
      <c r="F97" s="5"/>
      <c r="G97" s="5"/>
      <c r="H97" s="5"/>
      <c r="I97" s="33"/>
      <c r="J97" s="5"/>
      <c r="K97" s="5"/>
    </row>
    <row r="98" spans="1:11" ht="14.25" hidden="1" x14ac:dyDescent="0.2">
      <c r="A98" s="33"/>
      <c r="B98" s="5"/>
      <c r="C98" s="5"/>
      <c r="D98" s="5"/>
      <c r="E98" s="5"/>
      <c r="F98" s="5"/>
      <c r="G98" s="5"/>
      <c r="H98" s="5"/>
      <c r="I98" s="33"/>
      <c r="J98" s="5"/>
      <c r="K98" s="5"/>
    </row>
    <row r="99" spans="1:11" ht="14.25" hidden="1" x14ac:dyDescent="0.2">
      <c r="A99" s="33"/>
      <c r="B99" s="5"/>
      <c r="C99" s="5"/>
      <c r="D99" s="5"/>
      <c r="E99" s="5"/>
      <c r="F99" s="5"/>
      <c r="G99" s="5"/>
      <c r="H99" s="5"/>
      <c r="I99" s="33"/>
      <c r="J99" s="5"/>
      <c r="K99" s="5"/>
    </row>
    <row r="100" spans="1:11" ht="14.25" hidden="1" x14ac:dyDescent="0.2">
      <c r="A100" s="33"/>
      <c r="B100" s="5"/>
      <c r="C100" s="5"/>
      <c r="D100" s="5"/>
      <c r="E100" s="5"/>
      <c r="F100" s="5"/>
      <c r="G100" s="5"/>
      <c r="H100" s="5"/>
      <c r="I100" s="33"/>
      <c r="J100" s="5"/>
      <c r="K100" s="5"/>
    </row>
    <row r="101" spans="1:11" ht="14.25" hidden="1" x14ac:dyDescent="0.2">
      <c r="A101" s="33"/>
      <c r="B101" s="5"/>
      <c r="C101" s="5"/>
      <c r="D101" s="5"/>
      <c r="E101" s="5"/>
      <c r="F101" s="5"/>
      <c r="G101" s="5"/>
      <c r="H101" s="5"/>
      <c r="I101" s="33"/>
      <c r="J101" s="5"/>
      <c r="K101" s="5"/>
    </row>
    <row r="102" spans="1:11" ht="14.25" hidden="1" x14ac:dyDescent="0.2">
      <c r="A102" s="33"/>
      <c r="B102" s="5"/>
      <c r="C102" s="5"/>
      <c r="D102" s="5"/>
      <c r="E102" s="5"/>
      <c r="F102" s="5"/>
      <c r="G102" s="5"/>
      <c r="H102" s="5"/>
      <c r="I102" s="33"/>
      <c r="J102" s="5"/>
      <c r="K102" s="5"/>
    </row>
    <row r="103" spans="1:11" ht="14.25" hidden="1" x14ac:dyDescent="0.2">
      <c r="A103" s="33"/>
      <c r="B103" s="5"/>
      <c r="C103" s="5"/>
      <c r="D103" s="5"/>
      <c r="E103" s="5"/>
      <c r="F103" s="5"/>
      <c r="G103" s="5"/>
      <c r="H103" s="5"/>
      <c r="I103" s="33"/>
      <c r="J103" s="5"/>
      <c r="K103" s="5"/>
    </row>
    <row r="104" spans="1:11" ht="14.25" hidden="1" x14ac:dyDescent="0.2">
      <c r="A104" s="33"/>
      <c r="B104" s="5"/>
      <c r="C104" s="5"/>
      <c r="D104" s="5"/>
      <c r="E104" s="5"/>
      <c r="F104" s="5"/>
      <c r="G104" s="5"/>
      <c r="H104" s="5"/>
      <c r="I104" s="33"/>
      <c r="J104" s="5"/>
      <c r="K104" s="5"/>
    </row>
    <row r="105" spans="1:11" ht="14.25" hidden="1" x14ac:dyDescent="0.2">
      <c r="A105" s="33"/>
      <c r="B105" s="5"/>
      <c r="C105" s="5"/>
      <c r="D105" s="5"/>
      <c r="E105" s="5"/>
      <c r="F105" s="5"/>
      <c r="G105" s="5"/>
      <c r="H105" s="5"/>
      <c r="I105" s="33"/>
      <c r="J105" s="5"/>
      <c r="K105" s="5"/>
    </row>
    <row r="106" spans="1:11" ht="14.25" hidden="1" x14ac:dyDescent="0.2">
      <c r="A106" s="33"/>
      <c r="B106" s="5"/>
      <c r="C106" s="5"/>
      <c r="D106" s="5"/>
      <c r="E106" s="5"/>
      <c r="F106" s="5"/>
      <c r="G106" s="5"/>
      <c r="H106" s="5"/>
      <c r="I106" s="33"/>
      <c r="J106" s="5"/>
      <c r="K106" s="5"/>
    </row>
    <row r="107" spans="1:11" ht="14.25" hidden="1" x14ac:dyDescent="0.2">
      <c r="A107" s="33"/>
      <c r="B107" s="5"/>
      <c r="C107" s="5"/>
      <c r="D107" s="5"/>
      <c r="E107" s="5"/>
      <c r="F107" s="5"/>
      <c r="G107" s="5"/>
      <c r="H107" s="5"/>
      <c r="I107" s="33"/>
      <c r="J107" s="5"/>
      <c r="K107" s="5"/>
    </row>
    <row r="108" spans="1:11" ht="14.25" hidden="1" x14ac:dyDescent="0.2">
      <c r="A108" s="33"/>
      <c r="B108" s="5"/>
      <c r="C108" s="5"/>
      <c r="D108" s="5"/>
      <c r="E108" s="5"/>
      <c r="F108" s="5"/>
      <c r="G108" s="5"/>
      <c r="H108" s="5"/>
      <c r="I108" s="33"/>
      <c r="J108" s="5"/>
      <c r="K108" s="5"/>
    </row>
    <row r="109" spans="1:11" ht="14.25" hidden="1" x14ac:dyDescent="0.2">
      <c r="A109" s="33"/>
      <c r="B109" s="5"/>
      <c r="C109" s="5"/>
      <c r="D109" s="5"/>
      <c r="E109" s="5"/>
      <c r="F109" s="5"/>
      <c r="G109" s="5"/>
      <c r="H109" s="5"/>
      <c r="I109" s="33"/>
      <c r="J109" s="5"/>
      <c r="K109" s="5"/>
    </row>
    <row r="110" spans="1:11" ht="14.25" hidden="1" x14ac:dyDescent="0.2">
      <c r="A110" s="33"/>
      <c r="B110" s="5"/>
      <c r="C110" s="5"/>
      <c r="D110" s="5"/>
      <c r="E110" s="5"/>
      <c r="F110" s="5"/>
      <c r="G110" s="5"/>
      <c r="H110" s="5"/>
      <c r="I110" s="33"/>
      <c r="J110" s="5"/>
      <c r="K110" s="5"/>
    </row>
    <row r="111" spans="1:11" ht="14.25" hidden="1" x14ac:dyDescent="0.2">
      <c r="A111" s="33"/>
      <c r="B111" s="5"/>
      <c r="C111" s="5"/>
      <c r="D111" s="5"/>
      <c r="E111" s="5"/>
      <c r="F111" s="5"/>
      <c r="G111" s="5"/>
      <c r="H111" s="5"/>
      <c r="I111" s="33"/>
      <c r="J111" s="5"/>
      <c r="K111" s="5"/>
    </row>
    <row r="112" spans="1:11" ht="14.25" hidden="1" x14ac:dyDescent="0.2">
      <c r="A112" s="33"/>
      <c r="B112" s="5"/>
      <c r="C112" s="5"/>
      <c r="D112" s="5"/>
      <c r="E112" s="5"/>
      <c r="F112" s="5"/>
      <c r="G112" s="5"/>
      <c r="H112" s="5"/>
      <c r="I112" s="33"/>
      <c r="J112" s="5"/>
      <c r="K112" s="5"/>
    </row>
    <row r="113" spans="1:11" ht="14.25" hidden="1" x14ac:dyDescent="0.2">
      <c r="A113" s="33"/>
      <c r="B113" s="5"/>
      <c r="C113" s="5"/>
      <c r="D113" s="5"/>
      <c r="E113" s="5"/>
      <c r="F113" s="5"/>
      <c r="G113" s="5"/>
      <c r="H113" s="5"/>
      <c r="I113" s="33"/>
      <c r="J113" s="5"/>
      <c r="K113" s="5"/>
    </row>
    <row r="114" spans="1:11" ht="14.25" hidden="1" x14ac:dyDescent="0.2">
      <c r="A114" s="33"/>
      <c r="B114" s="5"/>
      <c r="C114" s="5"/>
      <c r="D114" s="5"/>
      <c r="E114" s="5"/>
      <c r="F114" s="5"/>
      <c r="G114" s="5"/>
      <c r="H114" s="5"/>
      <c r="I114" s="33"/>
      <c r="J114" s="5"/>
      <c r="K114" s="5"/>
    </row>
    <row r="115" spans="1:11" ht="14.25" hidden="1" x14ac:dyDescent="0.2">
      <c r="A115" s="33"/>
      <c r="B115" s="5"/>
      <c r="C115" s="5"/>
      <c r="D115" s="5"/>
      <c r="E115" s="5"/>
      <c r="F115" s="5"/>
      <c r="G115" s="5"/>
      <c r="H115" s="5"/>
      <c r="I115" s="33"/>
      <c r="J115" s="5"/>
      <c r="K115" s="5"/>
    </row>
    <row r="116" spans="1:11" ht="14.25" hidden="1" x14ac:dyDescent="0.2">
      <c r="A116" s="33"/>
      <c r="B116" s="5"/>
      <c r="C116" s="5"/>
      <c r="D116" s="5"/>
      <c r="E116" s="5"/>
      <c r="F116" s="5"/>
      <c r="G116" s="5"/>
      <c r="H116" s="5"/>
      <c r="I116" s="33"/>
      <c r="J116" s="5"/>
      <c r="K116" s="5"/>
    </row>
    <row r="117" spans="1:11" ht="14.25" hidden="1" x14ac:dyDescent="0.2">
      <c r="A117" s="33"/>
      <c r="B117" s="5"/>
      <c r="C117" s="5"/>
      <c r="D117" s="5"/>
      <c r="E117" s="5"/>
      <c r="F117" s="5"/>
      <c r="G117" s="5"/>
      <c r="H117" s="5"/>
      <c r="I117" s="33"/>
      <c r="J117" s="5"/>
      <c r="K117" s="5"/>
    </row>
    <row r="118" spans="1:11" ht="14.25" hidden="1" x14ac:dyDescent="0.2">
      <c r="A118" s="33"/>
      <c r="B118" s="5"/>
      <c r="C118" s="5"/>
      <c r="D118" s="5"/>
      <c r="E118" s="5"/>
      <c r="F118" s="5"/>
      <c r="G118" s="5"/>
      <c r="H118" s="5"/>
      <c r="I118" s="33"/>
      <c r="J118" s="5"/>
      <c r="K118" s="5"/>
    </row>
    <row r="119" spans="1:11" ht="14.25" hidden="1" x14ac:dyDescent="0.2">
      <c r="A119" s="33"/>
      <c r="B119" s="5"/>
      <c r="C119" s="5"/>
      <c r="D119" s="5"/>
      <c r="E119" s="5"/>
      <c r="F119" s="5"/>
      <c r="G119" s="5"/>
      <c r="H119" s="5"/>
      <c r="I119" s="33"/>
      <c r="J119" s="5"/>
      <c r="K119" s="5"/>
    </row>
    <row r="120" spans="1:11" ht="14.25" hidden="1" x14ac:dyDescent="0.2">
      <c r="A120" s="33"/>
      <c r="B120" s="5"/>
      <c r="C120" s="5"/>
      <c r="D120" s="5"/>
      <c r="E120" s="5"/>
      <c r="F120" s="5"/>
      <c r="G120" s="5"/>
      <c r="H120" s="5"/>
      <c r="I120" s="33"/>
      <c r="J120" s="5"/>
      <c r="K120" s="5"/>
    </row>
    <row r="121" spans="1:11" ht="14.25" hidden="1" x14ac:dyDescent="0.2">
      <c r="A121" s="33"/>
      <c r="B121" s="5"/>
      <c r="C121" s="5"/>
      <c r="D121" s="5"/>
      <c r="E121" s="5"/>
      <c r="F121" s="5"/>
      <c r="G121" s="5"/>
      <c r="H121" s="5"/>
      <c r="I121" s="33"/>
      <c r="J121" s="5"/>
      <c r="K121" s="5"/>
    </row>
    <row r="122" spans="1:11" ht="14.25" hidden="1" x14ac:dyDescent="0.2">
      <c r="A122" s="33"/>
      <c r="B122" s="5"/>
      <c r="C122" s="5"/>
      <c r="D122" s="5"/>
      <c r="E122" s="5"/>
      <c r="F122" s="5"/>
      <c r="G122" s="5"/>
      <c r="H122" s="5"/>
      <c r="I122" s="33"/>
      <c r="J122" s="5"/>
      <c r="K122" s="5"/>
    </row>
    <row r="123" spans="1:11" ht="14.25" hidden="1" x14ac:dyDescent="0.2">
      <c r="A123" s="33"/>
      <c r="B123" s="5"/>
      <c r="C123" s="5"/>
      <c r="D123" s="5"/>
      <c r="E123" s="5"/>
      <c r="F123" s="5"/>
      <c r="G123" s="5"/>
      <c r="H123" s="5"/>
      <c r="I123" s="33"/>
      <c r="J123" s="5"/>
      <c r="K123" s="5"/>
    </row>
    <row r="124" spans="1:11" ht="14.25" hidden="1" x14ac:dyDescent="0.2">
      <c r="A124" s="33"/>
      <c r="B124" s="5"/>
      <c r="C124" s="5"/>
      <c r="D124" s="5"/>
      <c r="E124" s="5"/>
      <c r="F124" s="5"/>
      <c r="G124" s="5"/>
      <c r="H124" s="5"/>
      <c r="I124" s="33"/>
      <c r="J124" s="5"/>
      <c r="K124" s="5"/>
    </row>
    <row r="125" spans="1:11" ht="14.25" hidden="1" x14ac:dyDescent="0.2">
      <c r="A125" s="33"/>
      <c r="B125" s="5"/>
      <c r="C125" s="5"/>
      <c r="D125" s="5"/>
      <c r="E125" s="5"/>
      <c r="F125" s="5"/>
      <c r="G125" s="5"/>
      <c r="H125" s="5"/>
      <c r="I125" s="33"/>
      <c r="J125" s="5"/>
      <c r="K125" s="5"/>
    </row>
    <row r="126" spans="1:11" ht="14.25" hidden="1" x14ac:dyDescent="0.2">
      <c r="A126" s="33"/>
      <c r="B126" s="5"/>
      <c r="C126" s="5"/>
      <c r="D126" s="5"/>
      <c r="E126" s="5"/>
      <c r="F126" s="5"/>
      <c r="G126" s="5"/>
      <c r="H126" s="5"/>
      <c r="I126" s="33"/>
      <c r="J126" s="5"/>
      <c r="K126" s="5"/>
    </row>
    <row r="127" spans="1:11" ht="14.25" hidden="1" x14ac:dyDescent="0.2">
      <c r="A127" s="33"/>
      <c r="B127" s="5"/>
      <c r="C127" s="5"/>
      <c r="D127" s="5"/>
      <c r="E127" s="5"/>
      <c r="F127" s="5"/>
      <c r="G127" s="5"/>
      <c r="H127" s="5"/>
      <c r="I127" s="33"/>
    </row>
    <row r="128" spans="1:11" ht="14.25" hidden="1" x14ac:dyDescent="0.2">
      <c r="B128" s="5"/>
      <c r="C128" s="5"/>
      <c r="D128" s="5"/>
      <c r="E128" s="5"/>
      <c r="F128" s="5"/>
      <c r="G128" s="5"/>
      <c r="H128" s="5"/>
    </row>
    <row r="129" spans="2:8" ht="14.25" hidden="1" x14ac:dyDescent="0.2">
      <c r="B129" s="5"/>
      <c r="C129" s="5"/>
      <c r="D129" s="5"/>
      <c r="E129" s="5"/>
      <c r="F129" s="5"/>
      <c r="G129" s="5"/>
      <c r="H129" s="5"/>
    </row>
    <row r="130" spans="2:8" ht="14.25" hidden="1" x14ac:dyDescent="0.2">
      <c r="B130" s="5"/>
      <c r="C130" s="5"/>
      <c r="D130" s="5"/>
      <c r="E130" s="5"/>
      <c r="F130" s="5"/>
      <c r="G130" s="5"/>
      <c r="H130" s="5"/>
    </row>
    <row r="131" spans="2:8" ht="14.25" hidden="1" x14ac:dyDescent="0.2">
      <c r="B131" s="5"/>
      <c r="C131" s="5"/>
      <c r="D131" s="5"/>
      <c r="E131" s="5"/>
      <c r="F131" s="5"/>
      <c r="G131" s="5"/>
      <c r="H131" s="5"/>
    </row>
    <row r="132" spans="2:8" x14ac:dyDescent="0.2"/>
  </sheetData>
  <sheetProtection algorithmName="SHA-512" hashValue="FDt0hrprMdbn8QS1nNZYwZ7p57j7vll2Jd0gudjY8Gfta7IAb6dCSfbu+ORIFwZdrcOeLezMrx4oV/ZZjpF/pQ==" saltValue="Sq2+IOdqhAWFw+ZdwuVZZg==" spinCount="100000" sheet="1" objects="1" scenarios="1"/>
  <protectedRanges>
    <protectedRange sqref="D15 D25:E25 C28:D28 B22:F22 D24:F24" name="Range1"/>
    <protectedRange sqref="C5" name="Range1_1"/>
    <protectedRange sqref="C8:D8 C9:C10 D10:E10" name="Range1_3"/>
    <protectedRange sqref="E12:E13" name="Range1_4"/>
  </protectedRanges>
  <mergeCells count="19">
    <mergeCell ref="C5:E5"/>
    <mergeCell ref="B19:H20"/>
    <mergeCell ref="B37:F38"/>
    <mergeCell ref="B78:H78"/>
    <mergeCell ref="B33:F33"/>
    <mergeCell ref="B24:C24"/>
    <mergeCell ref="B16:H16"/>
    <mergeCell ref="B12:D12"/>
    <mergeCell ref="B13:D13"/>
    <mergeCell ref="B17:H17"/>
    <mergeCell ref="B30:H30"/>
    <mergeCell ref="B15:C15"/>
    <mergeCell ref="B76:H76"/>
    <mergeCell ref="B49:F49"/>
    <mergeCell ref="B34:D35"/>
    <mergeCell ref="B39:F39"/>
    <mergeCell ref="B59:F59"/>
    <mergeCell ref="F68:F69"/>
    <mergeCell ref="F70:F71"/>
  </mergeCells>
  <phoneticPr fontId="2" type="noConversion"/>
  <conditionalFormatting sqref="B21:B22">
    <cfRule type="expression" dxfId="13" priority="15">
      <formula>AND($C$8&gt;=1992,$J$2&lt;&gt;"Show")</formula>
    </cfRule>
  </conditionalFormatting>
  <conditionalFormatting sqref="B25:G25">
    <cfRule type="expression" dxfId="12" priority="10">
      <formula>AND($C$8&gt;=2014,$J$2&lt;&gt;"Show")</formula>
    </cfRule>
  </conditionalFormatting>
  <conditionalFormatting sqref="B39:G47">
    <cfRule type="expression" dxfId="11" priority="19">
      <formula>AND($C$8&gt;=2014,$J$2&lt;&gt;"Show")</formula>
    </cfRule>
  </conditionalFormatting>
  <conditionalFormatting sqref="B49:G57">
    <cfRule type="expression" dxfId="10" priority="7">
      <formula>AND($C$8&gt;=2025,$J$2&lt;&gt;"Show")</formula>
    </cfRule>
  </conditionalFormatting>
  <conditionalFormatting sqref="B18:H20 B21:G26 B27:H82">
    <cfRule type="expression" dxfId="9" priority="2">
      <formula>AND(OR($C$8=0,$C$8=""),$J$2&lt;&gt;"Show")</formula>
    </cfRule>
  </conditionalFormatting>
  <conditionalFormatting sqref="B68:H71">
    <cfRule type="expression" dxfId="8" priority="22">
      <formula>AND(OR(OR($D$25=0,$D$25=""),OR($D$24="",$D$24=0),OR($C$28=0,$C$28="")),$J$2="Hide")</formula>
    </cfRule>
  </conditionalFormatting>
  <conditionalFormatting sqref="C21:C22">
    <cfRule type="expression" dxfId="7" priority="11">
      <formula>AND($C$8&gt;=2014,$J$2&lt;&gt;"Show")</formula>
    </cfRule>
  </conditionalFormatting>
  <conditionalFormatting sqref="D21">
    <cfRule type="expression" dxfId="6" priority="6">
      <formula>AND($C$8&gt;=1992,$J$2&lt;&gt;"Show")</formula>
    </cfRule>
  </conditionalFormatting>
  <conditionalFormatting sqref="D22">
    <cfRule type="expression" dxfId="5" priority="5">
      <formula>AND($C$8&gt;=1992,$J$2&lt;&gt;"Show")</formula>
    </cfRule>
  </conditionalFormatting>
  <conditionalFormatting sqref="E21">
    <cfRule type="expression" dxfId="4" priority="9">
      <formula>AND($C$8&gt;=2025,$J$2&lt;&gt;"Show")</formula>
    </cfRule>
  </conditionalFormatting>
  <conditionalFormatting sqref="E22">
    <cfRule type="expression" dxfId="3" priority="8">
      <formula>AND($C$8&gt;=2025,$J$2&lt;&gt;"Show")</formula>
    </cfRule>
  </conditionalFormatting>
  <conditionalFormatting sqref="F21">
    <cfRule type="expression" dxfId="2" priority="4">
      <formula>AND($C$8&gt;=2014,$J$2&lt;&gt;"Show")</formula>
    </cfRule>
  </conditionalFormatting>
  <conditionalFormatting sqref="F22">
    <cfRule type="expression" dxfId="1" priority="3">
      <formula>AND($C$8&gt;=2014,$J$2&lt;&gt;"Show")</formula>
    </cfRule>
  </conditionalFormatting>
  <conditionalFormatting sqref="H21:H22">
    <cfRule type="expression" dxfId="0" priority="1">
      <formula>AND(OR($C$8=0,$C$8=""),$J$2&lt;&gt;"Show")</formula>
    </cfRule>
  </conditionalFormatting>
  <dataValidations xWindow="129" yWindow="443" count="28">
    <dataValidation type="whole" showInputMessage="1" showErrorMessage="1" prompt="Veuillez entrer l’année (AAAA)_x000a_Voir la page 3 de votre relevé dans la section « Renseignements personnels »" sqref="D24:D25" xr:uid="{00000000-0002-0000-0000-000001000000}">
      <formula1>1940</formula1>
      <formula2>2100</formula2>
    </dataValidation>
    <dataValidation type="whole" operator="greaterThan" allowBlank="1" showInputMessage="1" showErrorMessage="1" error="Note: Fonctionne pour les dates de retraite prévue 2014 et après." prompt="Entrez l'année de la date que vous aimeriez prendre votre retraite._x000a_Sinon entrez l'année de la date normale de retaite." sqref="C28" xr:uid="{00000000-0002-0000-0000-000004000000}">
      <formula1>2025</formula1>
    </dataValidation>
    <dataValidation allowBlank="1" showInputMessage="1" showErrorMessage="1" prompt="Ce doit toujours être le premier du mois." sqref="G25" xr:uid="{00000000-0002-0000-0000-000005000000}"/>
    <dataValidation type="whole" allowBlank="1" showInputMessage="1" showErrorMessage="1" prompt="Entrez le mois de la date que vous voulez prendre votre retraite" sqref="D28" xr:uid="{00000000-0002-0000-0000-000007000000}">
      <formula1>1</formula1>
      <formula2>12</formula2>
    </dataValidation>
    <dataValidation type="decimal" allowBlank="1" showInputMessage="1" showErrorMessage="1" prompt="Voir la page 2 de votre relevé dans la section « sommaire de votre pension accumulée »_x000a_Entrez le nombre d'années. " sqref="B22:G22" xr:uid="{00000000-0002-0000-0000-000008000000}">
      <formula1>0</formula1>
      <formula2>40</formula2>
    </dataValidation>
    <dataValidation type="list" allowBlank="1" showInputMessage="1" showErrorMessage="1" promptTitle="% augmentation de l'échelle" prompt="Veuillez entrer un pourcentage possible d'augmentation de salaire. L'augmentation est sur une base annuelle donc il faut ajuster s'il y en a deux. Si vous pensez que votre salaire n'augmentera plus au cours des prochaines années, laissez à 0%." sqref="D15" xr:uid="{00000000-0002-0000-0000-00000B000000}">
      <formula1>$O$5:$O$23</formula1>
    </dataValidation>
    <dataValidation type="list" allowBlank="1" showInputMessage="1" showErrorMessage="1" sqref="J2" xr:uid="{00000000-0002-0000-0000-00000C000000}">
      <formula1>"Show,Hide"</formula1>
    </dataValidation>
    <dataValidation allowBlank="1" showInputMessage="1" showErrorMessage="1" prompt="Vous devez compléter tous les champs en bleu._x000a__x000a_Il vous faudra votre dernier relevé de l'Assomption Vie ainsi que le montant de votre salaire de base des trois dernières années._x000a_" sqref="A2:A3" xr:uid="{00000000-0002-0000-0000-00000D000000}"/>
    <dataValidation type="whole" allowBlank="1" showInputMessage="1" showErrorMessage="1" prompt="Entrez le jour" sqref="G24:G25" xr:uid="{00000000-0002-0000-0000-000003000000}">
      <formula1>1</formula1>
      <formula2>31</formula2>
    </dataValidation>
    <dataValidation type="decimal" allowBlank="1" showInputMessage="1" showErrorMessage="1" prompt="Voir la page 2 de votre relevé dans la section « Vos droits »._x000a__x000a_Entrez nombre d'années. _x000a_" sqref="H22" xr:uid="{00000000-0002-0000-0000-00000F000000}">
      <formula1>0</formula1>
      <formula2>40</formula2>
    </dataValidation>
    <dataValidation type="whole" allowBlank="1" showInputMessage="1" showErrorMessage="1" sqref="F26" xr:uid="{AA7841BC-959C-4990-9389-C2151C38BEBD}">
      <formula1>1</formula1>
      <formula2>1</formula2>
    </dataValidation>
    <dataValidation type="whole" allowBlank="1" showInputMessage="1" showErrorMessage="1" prompt="Ce doit toujours être le premier du mois." sqref="F25" xr:uid="{D4806750-F536-43C0-827A-78D09E187725}">
      <formula1>1</formula1>
      <formula2>1</formula2>
    </dataValidation>
    <dataValidation type="whole" allowBlank="1" showInputMessage="1" showErrorMessage="1" prompt="Doit toujours être le premier du mois." sqref="E8" xr:uid="{04D4186E-5F44-48A0-B42B-253D464CFB1A}">
      <formula1>1</formula1>
      <formula2>1</formula2>
    </dataValidation>
    <dataValidation type="whole" allowBlank="1" showInputMessage="1" showErrorMessage="1" prompt="Veuillez entrer l’année (AAAA)_x000a_Voir la page 3 de votre relevé dans la section « Renseignements personnels »" sqref="D25" xr:uid="{7A99A462-4E5D-4065-8C38-F33447CC0B5F}">
      <formula1>1940</formula1>
      <formula2>2100</formula2>
    </dataValidation>
    <dataValidation type="whole" allowBlank="1" showInputMessage="1" showErrorMessage="1" prompt="Veuillez entrer le jour (JJ)_x000a_Voir la page 3 de votre relevé dans la section « Renseignements personnels »" sqref="F24:F25" xr:uid="{C30AA646-D4E4-4DBE-804D-0BF1A91C2411}">
      <formula1>1</formula1>
      <formula2>31</formula2>
    </dataValidation>
    <dataValidation allowBlank="1" showInputMessage="1" showErrorMessage="1" prompt="Veuillez entrer votre nom" sqref="C5:E5" xr:uid="{113C96BC-6FC8-4EC4-803A-9201C8DE6CE7}"/>
    <dataValidation type="whole" allowBlank="1" showInputMessage="1" showErrorMessage="1" prompt="Veuillez entrer l'année : (AAAA)_x000a_Voir la page 3 de votre relevé dans la section « Renseignements personnels » " sqref="C8" xr:uid="{7DC42AF1-DDBC-4BFC-9125-3DB896301417}">
      <formula1>1940</formula1>
      <formula2>2100</formula2>
    </dataValidation>
    <dataValidation type="whole" allowBlank="1" showInputMessage="1" showErrorMessage="1" prompt="Veuillez entrer l'année : (AAAA)" sqref="C10" xr:uid="{B810B1CA-9560-41E7-B36E-89BA0D39ED29}">
      <formula1>YEAR(NOW())-1</formula1>
      <formula2>YEAR(NOW())+1</formula2>
    </dataValidation>
    <dataValidation type="whole" allowBlank="1" showInputMessage="1" showErrorMessage="1" prompt="Veuillez entrer le mois (MM)" sqref="D10" xr:uid="{A397D807-2E00-4EC7-983A-A710F995D80D}">
      <formula1>1</formula1>
      <formula2>12</formula2>
    </dataValidation>
    <dataValidation type="whole" allowBlank="1" showInputMessage="1" showErrorMessage="1" prompt="Doit toujours être le premier du mois." sqref="E9" xr:uid="{757E10CA-491C-4C53-805E-83996C69BB24}">
      <formula1>31</formula1>
      <formula2>31</formula2>
    </dataValidation>
    <dataValidation type="whole" allowBlank="1" showInputMessage="1" showErrorMessage="1" prompt="Doit toujours être le premier du mois." sqref="D9" xr:uid="{B1EFD829-A43B-4214-B7F8-2378DDF77934}">
      <formula1>12</formula1>
      <formula2>12</formula2>
    </dataValidation>
    <dataValidation type="whole" allowBlank="1" showInputMessage="1" showErrorMessage="1" prompt="Veuillez entrer la journée en format (JJ)" sqref="E10" xr:uid="{21B239CC-9B98-4288-BBE4-7EA17C2788FE}">
      <formula1>1</formula1>
      <formula2>31</formula2>
    </dataValidation>
    <dataValidation type="whole" allowBlank="1" showInputMessage="1" showErrorMessage="1" prompt="Veuillez entrer le mois :  (MM)_x000a_Voir la page 3 de votre relevé dans la section « Renseignements personnels » " sqref="D8" xr:uid="{44F39EEB-4003-42D6-8153-DF483803CC85}">
      <formula1>1</formula1>
      <formula2>12</formula2>
    </dataValidation>
    <dataValidation type="decimal" allowBlank="1" showInputMessage="1" showErrorMessage="1" promptTitle="Entrez votre salaire annuel actu" prompt="Veuillez entrer votre salaire annuel régulier plus les primes administratives.  Les surcharges ne doivent pas être incluses dans le calcul." sqref="E13" xr:uid="{535182C9-1CC1-4EFE-AE8C-CCE876C684A8}">
      <formula1>0</formula1>
      <formula2>999999</formula2>
    </dataValidation>
    <dataValidation type="decimal" allowBlank="1" showInputMessage="1" showErrorMessage="1" promptTitle="Entrez votre salaire moyen" prompt="Voir page 2 du relevé annuel dans la section_x000a_« Sommaire de votre pension accumulée »" sqref="E12" xr:uid="{DC5F4CE0-9328-4944-A086-EFB671E79CC0}">
      <formula1>0</formula1>
      <formula2>999999</formula2>
    </dataValidation>
    <dataValidation type="whole" allowBlank="1" showInputMessage="1" showErrorMessage="1" prompt="Veuillez entrer l'année : (AAAA)_x000a_Voir en haut à droite de la première page de votre relevé. _x000a_« RELEVÉ ANNUEL AU 31 DÉCEMBRE AAAA »" sqref="C9" xr:uid="{5E96963A-0167-491E-8C16-6FBB908A2D6F}">
      <formula1>1940</formula1>
      <formula2>2100</formula2>
    </dataValidation>
    <dataValidation allowBlank="1" showInputMessage="1" showErrorMessage="1" prompt="Vous devez compléter tous les champs en bleu._x000a__x000a_Il vous faudra votre dernier relevé de l'Assomption ainsi que votre salaire de base le plus récent." sqref="A1" xr:uid="{4471D9EB-3449-4BE9-902D-21F75EA57F1A}"/>
    <dataValidation type="whole" allowBlank="1" showInputMessage="1" showErrorMessage="1" prompt="Veuillez entrer le mois (MM)_x000a_Voir la page 3 de votre relevé dans la section « Renseignements personnels »" sqref="E24:E25" xr:uid="{00000000-0002-0000-0000-000002000000}">
      <formula1>1</formula1>
      <formula2>12</formula2>
    </dataValidation>
  </dataValidations>
  <printOptions horizontalCentered="1"/>
  <pageMargins left="0.75" right="0.75" top="1" bottom="1" header="0.5" footer="0.5"/>
  <pageSetup scale="46" orientation="portrait" r:id="rId1"/>
  <headerFooter alignWithMargins="0">
    <oddFooter>&amp;L&amp;D&amp;R&amp;Z&amp;F</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M55"/>
  <sheetViews>
    <sheetView zoomScaleNormal="100" workbookViewId="0">
      <selection activeCell="B6" sqref="B4:B6"/>
    </sheetView>
  </sheetViews>
  <sheetFormatPr defaultColWidth="11.42578125" defaultRowHeight="12.75" x14ac:dyDescent="0.2"/>
  <cols>
    <col min="1" max="1" width="12.7109375" customWidth="1"/>
    <col min="2" max="2" width="15.42578125" customWidth="1"/>
    <col min="3" max="3" width="18.28515625" bestFit="1" customWidth="1"/>
    <col min="4" max="4" width="23.85546875" customWidth="1"/>
    <col min="5" max="7" width="16.42578125" customWidth="1"/>
    <col min="9" max="9" width="17" customWidth="1"/>
    <col min="10" max="10" width="15.85546875" customWidth="1"/>
    <col min="13" max="13" width="14.85546875" bestFit="1" customWidth="1"/>
    <col min="14" max="14" width="20" customWidth="1"/>
  </cols>
  <sheetData>
    <row r="2" spans="1:13" x14ac:dyDescent="0.2">
      <c r="E2" s="1">
        <f>MIN(2%,Data!D15)</f>
        <v>0</v>
      </c>
      <c r="F2" s="1"/>
      <c r="G2" s="1"/>
    </row>
    <row r="3" spans="1:13" x14ac:dyDescent="0.2">
      <c r="A3" t="s">
        <v>1</v>
      </c>
      <c r="B3" t="s">
        <v>2</v>
      </c>
      <c r="C3" t="s">
        <v>4</v>
      </c>
      <c r="D3" s="4" t="s">
        <v>6</v>
      </c>
      <c r="E3" t="s">
        <v>3</v>
      </c>
      <c r="F3" s="4" t="s">
        <v>61</v>
      </c>
      <c r="H3" s="13" t="s">
        <v>28</v>
      </c>
    </row>
    <row r="4" spans="1:13" x14ac:dyDescent="0.2">
      <c r="A4" s="18">
        <f>+MAX(tablemax[Année])-3</f>
        <v>2023</v>
      </c>
      <c r="B4" s="3" t="e">
        <f>+VLOOKUP($A4,$L$7:$M$11,2,0)</f>
        <v>#N/A</v>
      </c>
      <c r="C4" s="2"/>
      <c r="D4" s="2"/>
      <c r="E4" s="3">
        <f>+VLOOKUP(A4,tablemax[],3,0)</f>
        <v>233778</v>
      </c>
      <c r="F4" s="103" t="e">
        <f>ROUND(IF(OR(A4&gt;YEAR($M$18),A4&lt;YEAR($M$17)),0,YEARFRAC(MAX(DATE(A4,1,1),$M$17),MIN(DATE(A4,12,31),$M$18),0)),8)</f>
        <v>#NUM!</v>
      </c>
      <c r="G4" s="3"/>
    </row>
    <row r="5" spans="1:13" x14ac:dyDescent="0.2">
      <c r="A5">
        <f>+A4+1</f>
        <v>2024</v>
      </c>
      <c r="B5" s="3" t="e">
        <f>+VLOOKUP($A5,$L$7:$M$11,2,0)</f>
        <v>#N/A</v>
      </c>
      <c r="C5" s="2"/>
      <c r="D5" s="2"/>
      <c r="E5" s="2">
        <f>+IFERROR(VLOOKUP(A5,tablemax[],3,0),E4*(1+$E$2))</f>
        <v>240666.66666666669</v>
      </c>
      <c r="F5" s="103" t="e">
        <f t="shared" ref="F5:F55" si="0">ROUND(IF(OR(A5&gt;YEAR($M$18),A5&lt;YEAR($M$17)),0,YEARFRAC(MAX(DATE(A5,1,1),$M$17),MIN(DATE(A5,12,31),$M$18),0)),8)</f>
        <v>#NUM!</v>
      </c>
      <c r="G5" s="2"/>
      <c r="H5" t="s">
        <v>1</v>
      </c>
      <c r="I5" t="s">
        <v>29</v>
      </c>
      <c r="J5" t="s">
        <v>30</v>
      </c>
    </row>
    <row r="6" spans="1:13" ht="15" x14ac:dyDescent="0.25">
      <c r="A6">
        <f t="shared" ref="A6:A55" si="1">+A5+1</f>
        <v>2025</v>
      </c>
      <c r="B6" s="3" t="e">
        <f>IFERROR(VLOOKUP($A6,$L$7:$M$11,2,0),B5*(1+Data!$D$15))</f>
        <v>#N/A</v>
      </c>
      <c r="C6" s="2"/>
      <c r="D6" s="2"/>
      <c r="E6" s="2">
        <f>+IFERROR(VLOOKUP(A6,tablemax[],3,0),E5*(1+$E$2))</f>
        <v>250444.66666666669</v>
      </c>
      <c r="F6" s="103" t="e">
        <f t="shared" si="0"/>
        <v>#NUM!</v>
      </c>
      <c r="G6" s="2"/>
      <c r="H6" s="11">
        <v>1990</v>
      </c>
      <c r="I6" s="12">
        <v>1722.22</v>
      </c>
      <c r="J6" s="19">
        <f>+tablemax[[#This Row],[Plafond des PD]]/0.02</f>
        <v>86111</v>
      </c>
      <c r="L6" s="99" t="s">
        <v>1</v>
      </c>
      <c r="M6" s="99" t="s">
        <v>10</v>
      </c>
    </row>
    <row r="7" spans="1:13" ht="15" x14ac:dyDescent="0.2">
      <c r="A7">
        <f t="shared" si="1"/>
        <v>2026</v>
      </c>
      <c r="B7" s="3" t="e">
        <f>IFERROR(VLOOKUP($A7,$L$7:$M$11,2,0),B6*(1+Data!$D$15))</f>
        <v>#N/A</v>
      </c>
      <c r="C7" s="2"/>
      <c r="D7" s="2"/>
      <c r="E7" s="2">
        <f>+IFERROR(VLOOKUP(A7,tablemax[],3,0),E6*(1+$E$2))</f>
        <v>262148</v>
      </c>
      <c r="F7" s="103" t="e">
        <f t="shared" si="0"/>
        <v>#NUM!</v>
      </c>
      <c r="G7" s="2"/>
      <c r="H7" s="11">
        <v>1991</v>
      </c>
      <c r="I7" s="12">
        <v>1722.22</v>
      </c>
      <c r="J7" s="19">
        <f>+tablemax[[#This Row],[Plafond des PD]]/0.02</f>
        <v>86111</v>
      </c>
      <c r="L7" s="100">
        <f>+L8-1</f>
        <v>-4</v>
      </c>
      <c r="M7" s="101" t="e">
        <f>+IF(L7=Data!$T$5,Data!$U$5,M8/(1+Data!$U$7))</f>
        <v>#DIV/0!</v>
      </c>
    </row>
    <row r="8" spans="1:13" ht="15" x14ac:dyDescent="0.2">
      <c r="A8">
        <f>+A7+1</f>
        <v>2027</v>
      </c>
      <c r="B8" s="3" t="e">
        <f>IFERROR(VLOOKUP($A8,$L$7:$M$11,2,0),B7*(1+Data!$D$15))</f>
        <v>#N/A</v>
      </c>
      <c r="C8" s="2"/>
      <c r="D8" s="2"/>
      <c r="E8" s="2">
        <f>+IFERROR(VLOOKUP(A8,tablemax[],3,0),E7*(1+$E$2))</f>
        <v>262148</v>
      </c>
      <c r="F8" s="103" t="e">
        <f t="shared" si="0"/>
        <v>#NUM!</v>
      </c>
      <c r="G8" s="2"/>
      <c r="H8" s="11">
        <v>1992</v>
      </c>
      <c r="I8" s="12">
        <v>1722.22</v>
      </c>
      <c r="J8" s="19">
        <f>+tablemax[[#This Row],[Plafond des PD]]/0.02</f>
        <v>86111</v>
      </c>
      <c r="L8" s="100">
        <f>+L9-1</f>
        <v>-3</v>
      </c>
      <c r="M8" s="101" t="e">
        <f>+IF(L8=Data!$T$5,Data!$U$5,M9/(1+Data!$U$7))</f>
        <v>#DIV/0!</v>
      </c>
    </row>
    <row r="9" spans="1:13" ht="15" x14ac:dyDescent="0.2">
      <c r="A9">
        <f t="shared" si="1"/>
        <v>2028</v>
      </c>
      <c r="B9" s="3" t="e">
        <f>IFERROR(VLOOKUP($A9,$L$7:$M$11,2,0),B8*(1+Data!$D$15))</f>
        <v>#N/A</v>
      </c>
      <c r="C9" s="2"/>
      <c r="D9" s="2"/>
      <c r="E9" s="2">
        <f>+IFERROR(VLOOKUP(A9,tablemax[],3,0),E8*(1+$E$2))</f>
        <v>262148</v>
      </c>
      <c r="F9" s="103" t="e">
        <f t="shared" si="0"/>
        <v>#NUM!</v>
      </c>
      <c r="G9" s="2"/>
      <c r="H9" s="11">
        <v>1993</v>
      </c>
      <c r="I9" s="12">
        <v>1722.22</v>
      </c>
      <c r="J9" s="19">
        <f>+tablemax[[#This Row],[Plafond des PD]]/0.02</f>
        <v>86111</v>
      </c>
      <c r="L9" s="100">
        <f>+L10-1</f>
        <v>-2</v>
      </c>
      <c r="M9" s="101" t="e">
        <f>+IF(L9=Data!$T$5,Data!$U$5,M10/(1+Data!$U$7))</f>
        <v>#DIV/0!</v>
      </c>
    </row>
    <row r="10" spans="1:13" ht="15" x14ac:dyDescent="0.2">
      <c r="A10">
        <f t="shared" si="1"/>
        <v>2029</v>
      </c>
      <c r="B10" s="3" t="e">
        <f>IFERROR(VLOOKUP($A10,$L$7:$M$11,2,0),B9*(1+Data!$D$15))</f>
        <v>#N/A</v>
      </c>
      <c r="C10" s="2"/>
      <c r="D10" s="2"/>
      <c r="E10" s="2">
        <f>+IFERROR(VLOOKUP(A10,tablemax[],3,0),E9*(1+$E$2))</f>
        <v>262148</v>
      </c>
      <c r="F10" s="103" t="e">
        <f t="shared" si="0"/>
        <v>#NUM!</v>
      </c>
      <c r="G10" s="2"/>
      <c r="H10" s="11">
        <v>1994</v>
      </c>
      <c r="I10" s="12">
        <v>1722.22</v>
      </c>
      <c r="J10" s="19">
        <f>+tablemax[[#This Row],[Plafond des PD]]/0.02</f>
        <v>86111</v>
      </c>
      <c r="L10" s="100">
        <f>+L11-1</f>
        <v>-1</v>
      </c>
      <c r="M10" s="101">
        <f>+IF(L10=Data!$T$5,Data!$U$5,M11/(1+Data!$U$7))</f>
        <v>0</v>
      </c>
    </row>
    <row r="11" spans="1:13" ht="15" x14ac:dyDescent="0.2">
      <c r="A11">
        <f t="shared" si="1"/>
        <v>2030</v>
      </c>
      <c r="B11" s="3" t="e">
        <f>IFERROR(VLOOKUP($A11,$L$7:$M$11,2,0),B10*(1+Data!$D$15))</f>
        <v>#N/A</v>
      </c>
      <c r="C11" s="2"/>
      <c r="D11" s="2"/>
      <c r="E11" s="2">
        <f>+IFERROR(VLOOKUP(A11,tablemax[],3,0),E10*(1+$E$2))</f>
        <v>262148</v>
      </c>
      <c r="F11" s="103" t="e">
        <f t="shared" si="0"/>
        <v>#NUM!</v>
      </c>
      <c r="G11" s="2"/>
      <c r="H11" s="11">
        <v>1995</v>
      </c>
      <c r="I11" s="12">
        <v>1722.22</v>
      </c>
      <c r="J11" s="19">
        <f>+tablemax[[#This Row],[Plafond des PD]]/0.02</f>
        <v>86111</v>
      </c>
      <c r="L11" s="100">
        <f>Data!T6</f>
        <v>0</v>
      </c>
      <c r="M11" s="101">
        <f>Data!U6</f>
        <v>0</v>
      </c>
    </row>
    <row r="12" spans="1:13" x14ac:dyDescent="0.2">
      <c r="A12">
        <f t="shared" si="1"/>
        <v>2031</v>
      </c>
      <c r="B12" s="3" t="e">
        <f>IFERROR(VLOOKUP($A12,$L$7:$M$11,2,0),B11*(1+Data!$D$15))</f>
        <v>#N/A</v>
      </c>
      <c r="C12" s="2"/>
      <c r="D12" s="2"/>
      <c r="E12" s="2">
        <f>+IFERROR(VLOOKUP(A12,tablemax[],3,0),E11*(1+$E$2))</f>
        <v>262148</v>
      </c>
      <c r="F12" s="103" t="e">
        <f t="shared" si="0"/>
        <v>#NUM!</v>
      </c>
      <c r="G12" s="2"/>
      <c r="H12" s="11">
        <v>1996</v>
      </c>
      <c r="I12" s="12">
        <v>1722.22</v>
      </c>
      <c r="J12" s="19">
        <f>+tablemax[[#This Row],[Plafond des PD]]/0.02</f>
        <v>86111</v>
      </c>
    </row>
    <row r="13" spans="1:13" x14ac:dyDescent="0.2">
      <c r="A13">
        <f t="shared" si="1"/>
        <v>2032</v>
      </c>
      <c r="B13" s="3" t="e">
        <f>IFERROR(VLOOKUP($A13,$L$7:$M$11,2,0),B12*(1+Data!$D$15))</f>
        <v>#N/A</v>
      </c>
      <c r="C13" s="2"/>
      <c r="D13" s="2"/>
      <c r="E13" s="2">
        <f>+IFERROR(VLOOKUP(A13,tablemax[],3,0),E12*(1+$E$2))</f>
        <v>262148</v>
      </c>
      <c r="F13" s="103" t="e">
        <f t="shared" si="0"/>
        <v>#NUM!</v>
      </c>
      <c r="G13" s="2"/>
      <c r="H13" s="11">
        <v>1997</v>
      </c>
      <c r="I13" s="12">
        <v>1722.22</v>
      </c>
      <c r="J13" s="19">
        <f>+tablemax[[#This Row],[Plafond des PD]]/0.02</f>
        <v>86111</v>
      </c>
    </row>
    <row r="14" spans="1:13" x14ac:dyDescent="0.2">
      <c r="A14">
        <f t="shared" si="1"/>
        <v>2033</v>
      </c>
      <c r="B14" s="3" t="e">
        <f>IFERROR(VLOOKUP($A14,$L$7:$M$11,2,0),B13*(1+Data!$D$15))</f>
        <v>#N/A</v>
      </c>
      <c r="C14" s="2"/>
      <c r="D14" s="2"/>
      <c r="E14" s="2">
        <f>+IFERROR(VLOOKUP(A14,tablemax[],3,0),E13*(1+$E$2))</f>
        <v>262148</v>
      </c>
      <c r="F14" s="103" t="e">
        <f t="shared" si="0"/>
        <v>#NUM!</v>
      </c>
      <c r="G14" s="2"/>
      <c r="H14" s="11">
        <v>1998</v>
      </c>
      <c r="I14" s="12">
        <v>1722.22</v>
      </c>
      <c r="J14" s="19">
        <f>+tablemax[[#This Row],[Plafond des PD]]/0.02</f>
        <v>86111</v>
      </c>
    </row>
    <row r="15" spans="1:13" x14ac:dyDescent="0.2">
      <c r="A15">
        <f t="shared" si="1"/>
        <v>2034</v>
      </c>
      <c r="B15" s="3" t="e">
        <f>IFERROR(VLOOKUP($A15,$L$7:$M$11,2,0),B14*(1+Data!$D$15))</f>
        <v>#N/A</v>
      </c>
      <c r="C15" s="2"/>
      <c r="D15" s="2"/>
      <c r="E15" s="2">
        <f>+IFERROR(VLOOKUP(A15,tablemax[],3,0),E14*(1+$E$2))</f>
        <v>262148</v>
      </c>
      <c r="F15" s="103" t="e">
        <f t="shared" si="0"/>
        <v>#NUM!</v>
      </c>
      <c r="G15" s="2"/>
      <c r="H15" s="11">
        <v>1999</v>
      </c>
      <c r="I15" s="12">
        <v>1722.22</v>
      </c>
      <c r="J15" s="19">
        <f>+tablemax[[#This Row],[Plafond des PD]]/0.02</f>
        <v>86111</v>
      </c>
    </row>
    <row r="16" spans="1:13" x14ac:dyDescent="0.2">
      <c r="A16">
        <f t="shared" si="1"/>
        <v>2035</v>
      </c>
      <c r="B16" s="3" t="e">
        <f>IFERROR(VLOOKUP($A16,$L$7:$M$11,2,0),B15*(1+Data!$D$15))</f>
        <v>#N/A</v>
      </c>
      <c r="C16" s="2"/>
      <c r="D16" s="2"/>
      <c r="E16" s="2">
        <f>+IFERROR(VLOOKUP(A16,tablemax[],3,0),E15*(1+$E$2))</f>
        <v>262148</v>
      </c>
      <c r="F16" s="103" t="e">
        <f t="shared" si="0"/>
        <v>#NUM!</v>
      </c>
      <c r="G16" s="2"/>
      <c r="H16" s="11">
        <v>2000</v>
      </c>
      <c r="I16" s="12">
        <v>1722.22</v>
      </c>
      <c r="J16" s="19">
        <f>+tablemax[[#This Row],[Plafond des PD]]/0.02</f>
        <v>86111</v>
      </c>
    </row>
    <row r="17" spans="1:13" x14ac:dyDescent="0.2">
      <c r="A17">
        <f t="shared" si="1"/>
        <v>2036</v>
      </c>
      <c r="B17" s="3" t="e">
        <f>IFERROR(VLOOKUP($A17,$L$7:$M$11,2,0),B16*(1+Data!$D$15))</f>
        <v>#N/A</v>
      </c>
      <c r="C17" s="2"/>
      <c r="D17" s="2"/>
      <c r="E17" s="2">
        <f>+IFERROR(VLOOKUP(A17,tablemax[],3,0),E16*(1+$E$2))</f>
        <v>262148</v>
      </c>
      <c r="F17" s="103" t="e">
        <f t="shared" si="0"/>
        <v>#NUM!</v>
      </c>
      <c r="G17" s="2"/>
      <c r="H17" s="11">
        <v>2001</v>
      </c>
      <c r="I17" s="12">
        <v>1722.22</v>
      </c>
      <c r="J17" s="19">
        <f>+tablemax[[#This Row],[Plafond des PD]]/0.02</f>
        <v>86111</v>
      </c>
      <c r="L17" s="4" t="s">
        <v>62</v>
      </c>
      <c r="M17" s="102" t="e">
        <f>+EDATE(M18,-36)</f>
        <v>#NUM!</v>
      </c>
    </row>
    <row r="18" spans="1:13" x14ac:dyDescent="0.2">
      <c r="A18">
        <f t="shared" si="1"/>
        <v>2037</v>
      </c>
      <c r="B18" s="3" t="e">
        <f>IFERROR(VLOOKUP($A18,$L$7:$M$11,2,0),B17*(1+Data!$D$15))</f>
        <v>#N/A</v>
      </c>
      <c r="C18" s="2"/>
      <c r="D18" s="2"/>
      <c r="E18" s="2">
        <f>+IFERROR(VLOOKUP(A18,tablemax[],3,0),E17*(1+$E$2))</f>
        <v>262148</v>
      </c>
      <c r="F18" s="103" t="e">
        <f t="shared" si="0"/>
        <v>#NUM!</v>
      </c>
      <c r="G18" s="2"/>
      <c r="H18" s="11">
        <v>2002</v>
      </c>
      <c r="I18" s="12">
        <v>1722.22</v>
      </c>
      <c r="J18" s="19">
        <f>+tablemax[[#This Row],[Plafond des PD]]/0.02</f>
        <v>86111</v>
      </c>
      <c r="L18" s="4" t="s">
        <v>63</v>
      </c>
      <c r="M18" s="102" t="e">
        <f>DATE(Data!C28,Data!D28,1)</f>
        <v>#NUM!</v>
      </c>
    </row>
    <row r="19" spans="1:13" x14ac:dyDescent="0.2">
      <c r="A19">
        <f t="shared" si="1"/>
        <v>2038</v>
      </c>
      <c r="B19" s="3" t="e">
        <f>IFERROR(VLOOKUP($A19,$L$7:$M$11,2,0),B18*(1+Data!$D$15))</f>
        <v>#N/A</v>
      </c>
      <c r="C19" s="2"/>
      <c r="D19" s="2"/>
      <c r="E19" s="2">
        <f>+IFERROR(VLOOKUP(A19,tablemax[],3,0),E18*(1+$E$2))</f>
        <v>262148</v>
      </c>
      <c r="F19" s="103" t="e">
        <f t="shared" si="0"/>
        <v>#NUM!</v>
      </c>
      <c r="G19" s="2"/>
      <c r="H19" s="11">
        <v>2003</v>
      </c>
      <c r="I19" s="12">
        <v>1722.22</v>
      </c>
      <c r="J19" s="19">
        <f>+tablemax[[#This Row],[Plafond des PD]]/0.02</f>
        <v>86111</v>
      </c>
    </row>
    <row r="20" spans="1:13" x14ac:dyDescent="0.2">
      <c r="A20">
        <f t="shared" si="1"/>
        <v>2039</v>
      </c>
      <c r="B20" s="3" t="e">
        <f>IFERROR(VLOOKUP($A20,$L$7:$M$11,2,0),B19*(1+Data!$D$15))</f>
        <v>#N/A</v>
      </c>
      <c r="C20" s="2"/>
      <c r="D20" s="2"/>
      <c r="E20" s="2">
        <f>+IFERROR(VLOOKUP(A20,tablemax[],3,0),E19*(1+$E$2))</f>
        <v>262148</v>
      </c>
      <c r="F20" s="103" t="e">
        <f t="shared" si="0"/>
        <v>#NUM!</v>
      </c>
      <c r="G20" s="2"/>
      <c r="H20" s="11">
        <v>2004</v>
      </c>
      <c r="I20" s="12">
        <v>1833.33</v>
      </c>
      <c r="J20" s="19">
        <f>+tablemax[[#This Row],[Plafond des PD]]/0.02</f>
        <v>91666.5</v>
      </c>
      <c r="L20" s="4" t="s">
        <v>64</v>
      </c>
      <c r="M20" s="104" t="e">
        <f>ROUND(SUMPRODUCT(B4:B55,F4:F55)/SUM(F4:F55),2)</f>
        <v>#N/A</v>
      </c>
    </row>
    <row r="21" spans="1:13" x14ac:dyDescent="0.2">
      <c r="A21">
        <f t="shared" si="1"/>
        <v>2040</v>
      </c>
      <c r="B21" s="3" t="e">
        <f>IFERROR(VLOOKUP($A21,$L$7:$M$11,2,0),B20*(1+Data!$D$15))</f>
        <v>#N/A</v>
      </c>
      <c r="C21" s="2"/>
      <c r="D21" s="2"/>
      <c r="E21" s="2">
        <f>+IFERROR(VLOOKUP(A21,tablemax[],3,0),E20*(1+$E$2))</f>
        <v>262148</v>
      </c>
      <c r="F21" s="103" t="e">
        <f t="shared" si="0"/>
        <v>#NUM!</v>
      </c>
      <c r="G21" s="2"/>
      <c r="H21" s="11">
        <v>2005</v>
      </c>
      <c r="I21" s="12">
        <v>2000</v>
      </c>
      <c r="J21" s="19">
        <f>+tablemax[[#This Row],[Plafond des PD]]/0.02</f>
        <v>100000</v>
      </c>
      <c r="L21" s="4" t="s">
        <v>65</v>
      </c>
      <c r="M21" t="e">
        <f>ROUND(INDEX($E$4:$E$55,MATCH(YEAR(M18)+IF(MONTH(M18)=1,-1,0),$A$4:$A$55,0),1),2)</f>
        <v>#NUM!</v>
      </c>
    </row>
    <row r="22" spans="1:13" x14ac:dyDescent="0.2">
      <c r="A22">
        <f t="shared" si="1"/>
        <v>2041</v>
      </c>
      <c r="B22" s="3" t="e">
        <f>IFERROR(VLOOKUP($A22,$L$7:$M$11,2,0),B21*(1+Data!$D$15))</f>
        <v>#N/A</v>
      </c>
      <c r="C22" s="2"/>
      <c r="D22" s="2"/>
      <c r="E22" s="2">
        <f>+IFERROR(VLOOKUP(A22,tablemax[],3,0),E21*(1+$E$2))</f>
        <v>262148</v>
      </c>
      <c r="F22" s="103" t="e">
        <f t="shared" si="0"/>
        <v>#NUM!</v>
      </c>
      <c r="G22" s="2"/>
      <c r="H22" s="11">
        <v>2006</v>
      </c>
      <c r="I22" s="12">
        <v>2111.11</v>
      </c>
      <c r="J22" s="19">
        <f>+tablemax[[#This Row],[Plafond des PD]]/0.02</f>
        <v>105555.5</v>
      </c>
    </row>
    <row r="23" spans="1:13" x14ac:dyDescent="0.2">
      <c r="A23">
        <f t="shared" si="1"/>
        <v>2042</v>
      </c>
      <c r="B23" s="3" t="e">
        <f>IFERROR(VLOOKUP($A23,$L$7:$M$11,2,0),B22*(1+Data!$D$15))</f>
        <v>#N/A</v>
      </c>
      <c r="C23" s="2"/>
      <c r="D23" s="2"/>
      <c r="E23" s="2">
        <f>+IFERROR(VLOOKUP(A23,tablemax[],3,0),E22*(1+$E$2))</f>
        <v>262148</v>
      </c>
      <c r="F23" s="103" t="e">
        <f t="shared" si="0"/>
        <v>#NUM!</v>
      </c>
      <c r="G23" s="2"/>
      <c r="H23" s="11">
        <v>2007</v>
      </c>
      <c r="I23" s="12">
        <v>2222.2199999999998</v>
      </c>
      <c r="J23" s="19">
        <f>+tablemax[[#This Row],[Plafond des PD]]/0.02</f>
        <v>111110.99999999999</v>
      </c>
    </row>
    <row r="24" spans="1:13" x14ac:dyDescent="0.2">
      <c r="A24">
        <f t="shared" si="1"/>
        <v>2043</v>
      </c>
      <c r="B24" s="3" t="e">
        <f>IFERROR(VLOOKUP($A24,$L$7:$M$11,2,0),B23*(1+Data!$D$15))</f>
        <v>#N/A</v>
      </c>
      <c r="C24" s="2"/>
      <c r="D24" s="2"/>
      <c r="E24" s="2">
        <f>+IFERROR(VLOOKUP(A24,tablemax[],3,0),E23*(1+$E$2))</f>
        <v>262148</v>
      </c>
      <c r="F24" s="103" t="e">
        <f t="shared" si="0"/>
        <v>#NUM!</v>
      </c>
      <c r="G24" s="2"/>
      <c r="H24" s="11">
        <v>2008</v>
      </c>
      <c r="I24" s="12">
        <v>2333.33</v>
      </c>
      <c r="J24" s="19">
        <f>+tablemax[[#This Row],[Plafond des PD]]/0.02</f>
        <v>116666.5</v>
      </c>
    </row>
    <row r="25" spans="1:13" x14ac:dyDescent="0.2">
      <c r="A25">
        <f t="shared" si="1"/>
        <v>2044</v>
      </c>
      <c r="B25" s="3" t="e">
        <f>IFERROR(VLOOKUP($A25,$L$7:$M$11,2,0),B24*(1+Data!$D$15))</f>
        <v>#N/A</v>
      </c>
      <c r="C25" s="2"/>
      <c r="D25" s="2"/>
      <c r="E25" s="2">
        <f>+IFERROR(VLOOKUP(A25,tablemax[],3,0),E24*(1+$E$2))</f>
        <v>262148</v>
      </c>
      <c r="F25" s="103" t="e">
        <f t="shared" si="0"/>
        <v>#NUM!</v>
      </c>
      <c r="G25" s="2"/>
      <c r="H25" s="11">
        <v>2009</v>
      </c>
      <c r="I25" s="12">
        <v>2444.44</v>
      </c>
      <c r="J25" s="19">
        <f>+tablemax[[#This Row],[Plafond des PD]]/0.02</f>
        <v>122222</v>
      </c>
      <c r="M25" s="4"/>
    </row>
    <row r="26" spans="1:13" x14ac:dyDescent="0.2">
      <c r="A26">
        <f t="shared" si="1"/>
        <v>2045</v>
      </c>
      <c r="B26" s="3" t="e">
        <f>IFERROR(VLOOKUP($A26,$L$7:$M$11,2,0),B25*(1+Data!$D$15))</f>
        <v>#N/A</v>
      </c>
      <c r="C26" s="2"/>
      <c r="D26" s="2"/>
      <c r="E26" s="2">
        <f>+IFERROR(VLOOKUP(A26,tablemax[],3,0),E25*(1+$E$2))</f>
        <v>262148</v>
      </c>
      <c r="F26" s="103" t="e">
        <f t="shared" si="0"/>
        <v>#NUM!</v>
      </c>
      <c r="G26" s="2"/>
      <c r="H26" s="11">
        <v>2010</v>
      </c>
      <c r="I26" s="12">
        <v>2494.44</v>
      </c>
      <c r="J26" s="19">
        <f>+tablemax[[#This Row],[Plafond des PD]]/0.02</f>
        <v>124722</v>
      </c>
    </row>
    <row r="27" spans="1:13" x14ac:dyDescent="0.2">
      <c r="A27">
        <f t="shared" si="1"/>
        <v>2046</v>
      </c>
      <c r="B27" s="3" t="e">
        <f>IFERROR(VLOOKUP($A27,$L$7:$M$11,2,0),B26*(1+Data!$D$15))</f>
        <v>#N/A</v>
      </c>
      <c r="C27" s="2"/>
      <c r="D27" s="2"/>
      <c r="E27" s="2">
        <f>+IFERROR(VLOOKUP(A27,tablemax[],3,0),E26*(1+$E$2))</f>
        <v>262148</v>
      </c>
      <c r="F27" s="103" t="e">
        <f t="shared" si="0"/>
        <v>#NUM!</v>
      </c>
      <c r="G27" s="2"/>
      <c r="H27" s="11">
        <v>2011</v>
      </c>
      <c r="I27" s="12">
        <v>2552.2199999999998</v>
      </c>
      <c r="J27" s="19">
        <f>+tablemax[[#This Row],[Plafond des PD]]/0.02</f>
        <v>127610.99999999999</v>
      </c>
    </row>
    <row r="28" spans="1:13" x14ac:dyDescent="0.2">
      <c r="A28">
        <f t="shared" si="1"/>
        <v>2047</v>
      </c>
      <c r="B28" s="3" t="e">
        <f>IFERROR(VLOOKUP($A28,$L$7:$M$11,2,0),B27*(1+Data!$D$15))</f>
        <v>#N/A</v>
      </c>
      <c r="C28" s="2"/>
      <c r="D28" s="2"/>
      <c r="E28" s="2">
        <f>+IFERROR(VLOOKUP(A28,tablemax[],3,0),E27*(1+$E$2))</f>
        <v>262148</v>
      </c>
      <c r="F28" s="103" t="e">
        <f t="shared" si="0"/>
        <v>#NUM!</v>
      </c>
      <c r="G28" s="2"/>
      <c r="H28" s="11">
        <v>2012</v>
      </c>
      <c r="I28" s="12">
        <v>2646.67</v>
      </c>
      <c r="J28" s="19">
        <f>+tablemax[[#This Row],[Plafond des PD]]/0.02</f>
        <v>132333.5</v>
      </c>
    </row>
    <row r="29" spans="1:13" x14ac:dyDescent="0.2">
      <c r="A29">
        <f t="shared" si="1"/>
        <v>2048</v>
      </c>
      <c r="B29" s="3" t="e">
        <f>IFERROR(VLOOKUP($A29,$L$7:$M$11,2,0),B28*(1+Data!$D$15))</f>
        <v>#N/A</v>
      </c>
      <c r="C29" s="2"/>
      <c r="D29" s="2"/>
      <c r="E29" s="2">
        <f>+IFERROR(VLOOKUP(A29,tablemax[],3,0),E28*(1+$E$2))</f>
        <v>262148</v>
      </c>
      <c r="F29" s="103" t="e">
        <f t="shared" si="0"/>
        <v>#NUM!</v>
      </c>
      <c r="G29" s="2"/>
      <c r="H29" s="11">
        <v>2013</v>
      </c>
      <c r="I29" s="12">
        <v>2696.67</v>
      </c>
      <c r="J29" s="19">
        <f>+tablemax[[#This Row],[Plafond des PD]]/0.02</f>
        <v>134833.5</v>
      </c>
    </row>
    <row r="30" spans="1:13" x14ac:dyDescent="0.2">
      <c r="A30">
        <f t="shared" si="1"/>
        <v>2049</v>
      </c>
      <c r="B30" s="3" t="e">
        <f>IFERROR(VLOOKUP($A30,$L$7:$M$11,2,0),B29*(1+Data!$D$15))</f>
        <v>#N/A</v>
      </c>
      <c r="C30" s="2"/>
      <c r="D30" s="2"/>
      <c r="E30" s="2">
        <f>+IFERROR(VLOOKUP(A30,tablemax[],3,0),E29*(1+$E$2))</f>
        <v>262148</v>
      </c>
      <c r="F30" s="103" t="e">
        <f t="shared" si="0"/>
        <v>#NUM!</v>
      </c>
      <c r="G30" s="2"/>
      <c r="H30" s="11">
        <v>2014</v>
      </c>
      <c r="I30" s="12">
        <v>2770</v>
      </c>
      <c r="J30" s="19">
        <f>+tablemax[[#This Row],[Plafond des PD]]/0.015*0.75</f>
        <v>138500</v>
      </c>
    </row>
    <row r="31" spans="1:13" x14ac:dyDescent="0.2">
      <c r="A31">
        <f t="shared" si="1"/>
        <v>2050</v>
      </c>
      <c r="B31" s="3" t="e">
        <f>IFERROR(VLOOKUP($A31,$L$7:$M$11,2,0),B30*(1+Data!$D$15))</f>
        <v>#N/A</v>
      </c>
      <c r="C31" s="2"/>
      <c r="D31" s="2"/>
      <c r="E31" s="2">
        <f>+IFERROR(VLOOKUP(A31,tablemax[],3,0),E30*(1+$E$2))</f>
        <v>262148</v>
      </c>
      <c r="F31" s="103" t="e">
        <f t="shared" si="0"/>
        <v>#NUM!</v>
      </c>
      <c r="G31" s="2"/>
      <c r="H31" s="11">
        <v>2015</v>
      </c>
      <c r="I31" s="12">
        <v>2818.89</v>
      </c>
      <c r="J31" s="19">
        <f>+tablemax[[#This Row],[Plafond des PD]]/0.015*0.75</f>
        <v>140944.5</v>
      </c>
    </row>
    <row r="32" spans="1:13" x14ac:dyDescent="0.2">
      <c r="A32">
        <f t="shared" si="1"/>
        <v>2051</v>
      </c>
      <c r="B32" s="3" t="e">
        <f>IFERROR(VLOOKUP($A32,$L$7:$M$11,2,0),B31*(1+Data!$D$15))</f>
        <v>#N/A</v>
      </c>
      <c r="C32" s="2"/>
      <c r="D32" s="2"/>
      <c r="E32" s="2">
        <f>+IFERROR(VLOOKUP(A32,tablemax[],3,0),E31*(1+$E$2))</f>
        <v>262148</v>
      </c>
      <c r="F32" s="103" t="e">
        <f t="shared" si="0"/>
        <v>#NUM!</v>
      </c>
      <c r="G32" s="2"/>
      <c r="H32" s="11">
        <v>2016</v>
      </c>
      <c r="I32" s="12">
        <v>2890</v>
      </c>
      <c r="J32" s="19">
        <f>+tablemax[[#This Row],[Plafond des PD]]/0.015*0.75</f>
        <v>144500</v>
      </c>
    </row>
    <row r="33" spans="1:10" x14ac:dyDescent="0.2">
      <c r="A33">
        <f t="shared" si="1"/>
        <v>2052</v>
      </c>
      <c r="B33" s="3" t="e">
        <f>IFERROR(VLOOKUP($A33,$L$7:$M$11,2,0),B32*(1+Data!$D$15))</f>
        <v>#N/A</v>
      </c>
      <c r="C33" s="2"/>
      <c r="D33" s="2"/>
      <c r="E33" s="2">
        <f>+IFERROR(VLOOKUP(A33,tablemax[],3,0),E32*(1+$E$2))</f>
        <v>262148</v>
      </c>
      <c r="F33" s="103" t="e">
        <f t="shared" si="0"/>
        <v>#NUM!</v>
      </c>
      <c r="G33" s="2"/>
      <c r="H33" s="11">
        <v>2017</v>
      </c>
      <c r="I33" s="12">
        <v>2914.44</v>
      </c>
      <c r="J33" s="19">
        <f>+tablemax[[#This Row],[Plafond des PD]]/0.015*0.75</f>
        <v>145722</v>
      </c>
    </row>
    <row r="34" spans="1:10" x14ac:dyDescent="0.2">
      <c r="A34">
        <f t="shared" si="1"/>
        <v>2053</v>
      </c>
      <c r="B34" s="3" t="e">
        <f>IFERROR(VLOOKUP($A34,$L$7:$M$11,2,0),B33*(1+Data!$D$15))</f>
        <v>#N/A</v>
      </c>
      <c r="C34" s="2"/>
      <c r="D34" s="2"/>
      <c r="E34" s="2">
        <f>+IFERROR(VLOOKUP(A34,tablemax[],3,0),E33*(1+$E$2))</f>
        <v>262148</v>
      </c>
      <c r="F34" s="103" t="e">
        <f t="shared" si="0"/>
        <v>#NUM!</v>
      </c>
      <c r="G34" s="2"/>
      <c r="H34" s="11">
        <v>2018</v>
      </c>
      <c r="I34" s="12">
        <v>2944.44</v>
      </c>
      <c r="J34" s="19">
        <f>+tablemax[[#This Row],[Plafond des PD]]/0.015*0.75</f>
        <v>147222</v>
      </c>
    </row>
    <row r="35" spans="1:10" x14ac:dyDescent="0.2">
      <c r="A35">
        <f t="shared" si="1"/>
        <v>2054</v>
      </c>
      <c r="B35" s="3" t="e">
        <f>IFERROR(VLOOKUP($A35,$L$7:$M$11,2,0),B34*(1+Data!$D$15))</f>
        <v>#N/A</v>
      </c>
      <c r="C35" s="2"/>
      <c r="D35" s="2"/>
      <c r="E35" s="2">
        <f>+IFERROR(VLOOKUP(A35,tablemax[],3,0),E34*(1+$E$2))</f>
        <v>262148</v>
      </c>
      <c r="F35" s="103" t="e">
        <f t="shared" si="0"/>
        <v>#NUM!</v>
      </c>
      <c r="G35" s="2"/>
      <c r="H35" s="11">
        <v>2019</v>
      </c>
      <c r="I35" s="12">
        <v>3025.56</v>
      </c>
      <c r="J35" s="19">
        <f>+tablemax[[#This Row],[Plafond des PD]]/0.015*0.75</f>
        <v>151278</v>
      </c>
    </row>
    <row r="36" spans="1:10" x14ac:dyDescent="0.2">
      <c r="A36">
        <f t="shared" si="1"/>
        <v>2055</v>
      </c>
      <c r="B36" s="3" t="e">
        <f>IFERROR(VLOOKUP($A36,$L$7:$M$11,2,0),B35*(1+Data!$D$15))</f>
        <v>#N/A</v>
      </c>
      <c r="C36" s="2"/>
      <c r="D36" s="2"/>
      <c r="E36" s="2">
        <f>+IFERROR(VLOOKUP(A36,tablemax[],3,0),E35*(1+$E$2))</f>
        <v>262148</v>
      </c>
      <c r="F36" s="103" t="e">
        <f t="shared" si="0"/>
        <v>#NUM!</v>
      </c>
      <c r="G36" s="2"/>
      <c r="H36" s="16">
        <v>2020</v>
      </c>
      <c r="I36" s="17">
        <v>3092.22</v>
      </c>
      <c r="J36" s="19">
        <f>+tablemax[[#This Row],[Plafond des PD]]/0.015*0.75</f>
        <v>154611</v>
      </c>
    </row>
    <row r="37" spans="1:10" x14ac:dyDescent="0.2">
      <c r="A37">
        <f t="shared" si="1"/>
        <v>2056</v>
      </c>
      <c r="B37" s="3" t="e">
        <f>IFERROR(VLOOKUP($A37,$L$7:$M$11,2,0),B36*(1+Data!$D$15))</f>
        <v>#N/A</v>
      </c>
      <c r="C37" s="2"/>
      <c r="D37" s="2"/>
      <c r="E37" s="2">
        <f>+IFERROR(VLOOKUP(A37,tablemax[],3,0),E36*(1+$E$2))</f>
        <v>262148</v>
      </c>
      <c r="F37" s="103" t="e">
        <f t="shared" si="0"/>
        <v>#NUM!</v>
      </c>
      <c r="G37" s="2"/>
      <c r="H37" s="11">
        <v>2021</v>
      </c>
      <c r="I37" s="12">
        <v>3245.56</v>
      </c>
      <c r="J37" s="20">
        <f>+tablemax[[#This Row],[Plafond des PD]]/0.015</f>
        <v>216370.66666666666</v>
      </c>
    </row>
    <row r="38" spans="1:10" x14ac:dyDescent="0.2">
      <c r="A38">
        <f t="shared" si="1"/>
        <v>2057</v>
      </c>
      <c r="B38" s="3" t="e">
        <f>IFERROR(VLOOKUP($A38,$L$7:$M$11,2,0),B37*(1+Data!$D$15))</f>
        <v>#N/A</v>
      </c>
      <c r="C38" s="2"/>
      <c r="D38" s="2"/>
      <c r="E38" s="2">
        <f>+IFERROR(VLOOKUP(A38,tablemax[],3,0),E37*(1+$E$2))</f>
        <v>262148</v>
      </c>
      <c r="F38" s="103" t="e">
        <f t="shared" si="0"/>
        <v>#NUM!</v>
      </c>
      <c r="G38" s="2"/>
      <c r="H38" s="11">
        <v>2022</v>
      </c>
      <c r="I38" s="12">
        <v>3420</v>
      </c>
      <c r="J38" s="20">
        <f>+tablemax[[#This Row],[Plafond des PD]]/0.015</f>
        <v>228000</v>
      </c>
    </row>
    <row r="39" spans="1:10" x14ac:dyDescent="0.2">
      <c r="A39">
        <f t="shared" si="1"/>
        <v>2058</v>
      </c>
      <c r="B39" s="3" t="e">
        <f>IFERROR(VLOOKUP($A39,$L$7:$M$11,2,0),B38*(1+Data!$D$15))</f>
        <v>#N/A</v>
      </c>
      <c r="C39" s="2"/>
      <c r="D39" s="2"/>
      <c r="E39" s="2">
        <f>+IFERROR(VLOOKUP(A39,tablemax[],3,0),E38*(1+$E$2))</f>
        <v>262148</v>
      </c>
      <c r="F39" s="103" t="e">
        <f t="shared" si="0"/>
        <v>#NUM!</v>
      </c>
      <c r="G39" s="2"/>
      <c r="H39" s="11">
        <v>2023</v>
      </c>
      <c r="I39" s="12">
        <v>3506.67</v>
      </c>
      <c r="J39" s="20">
        <f>+tablemax[[#This Row],[Plafond des PD]]/0.015</f>
        <v>233778</v>
      </c>
    </row>
    <row r="40" spans="1:10" x14ac:dyDescent="0.2">
      <c r="A40">
        <f t="shared" si="1"/>
        <v>2059</v>
      </c>
      <c r="B40" s="3" t="e">
        <f>IFERROR(VLOOKUP($A40,$L$7:$M$11,2,0),B39*(1+Data!$D$15))</f>
        <v>#N/A</v>
      </c>
      <c r="C40" s="2"/>
      <c r="D40" s="2"/>
      <c r="E40" s="2">
        <f>+IFERROR(VLOOKUP(A40,tablemax[],3,0),E39*(1+$E$2))</f>
        <v>262148</v>
      </c>
      <c r="F40" s="103" t="e">
        <f t="shared" si="0"/>
        <v>#NUM!</v>
      </c>
      <c r="G40" s="2"/>
      <c r="H40" s="11">
        <v>2024</v>
      </c>
      <c r="I40" s="12">
        <v>3610</v>
      </c>
      <c r="J40" s="20">
        <f>+tablemax[[#This Row],[Plafond des PD]]/0.015</f>
        <v>240666.66666666669</v>
      </c>
    </row>
    <row r="41" spans="1:10" x14ac:dyDescent="0.2">
      <c r="A41">
        <f t="shared" si="1"/>
        <v>2060</v>
      </c>
      <c r="B41" s="3" t="e">
        <f>IFERROR(VLOOKUP($A41,$L$7:$M$11,2,0),B40*(1+Data!$D$15))</f>
        <v>#N/A</v>
      </c>
      <c r="C41" s="2"/>
      <c r="D41" s="2"/>
      <c r="E41" s="2">
        <f>+IFERROR(VLOOKUP(A41,tablemax[],3,0),E40*(1+$E$2))</f>
        <v>262148</v>
      </c>
      <c r="F41" s="103" t="e">
        <f t="shared" si="0"/>
        <v>#NUM!</v>
      </c>
      <c r="G41" s="2"/>
      <c r="H41" s="11">
        <v>2025</v>
      </c>
      <c r="I41" s="12">
        <v>3756.67</v>
      </c>
      <c r="J41" s="20">
        <f>+tablemax[[#This Row],[Plafond des PD]]/0.015</f>
        <v>250444.66666666669</v>
      </c>
    </row>
    <row r="42" spans="1:10" x14ac:dyDescent="0.2">
      <c r="A42">
        <f t="shared" si="1"/>
        <v>2061</v>
      </c>
      <c r="B42" s="3" t="e">
        <f>IFERROR(VLOOKUP($A42,$L$7:$M$11,2,0),B41*(1+Data!$D$15))</f>
        <v>#N/A</v>
      </c>
      <c r="C42" s="2"/>
      <c r="D42" s="2"/>
      <c r="E42" s="2">
        <f>+IFERROR(VLOOKUP(A42,tablemax[],3,0),E41*(1+$E$2))</f>
        <v>262148</v>
      </c>
      <c r="F42" s="103" t="e">
        <f t="shared" si="0"/>
        <v>#NUM!</v>
      </c>
      <c r="G42" s="2"/>
      <c r="H42" s="11">
        <v>2026</v>
      </c>
      <c r="I42" s="12">
        <v>3932.22</v>
      </c>
      <c r="J42" s="20">
        <f>+tablemax[[#This Row],[Plafond des PD]]/0.015</f>
        <v>262148</v>
      </c>
    </row>
    <row r="43" spans="1:10" x14ac:dyDescent="0.2">
      <c r="A43">
        <f t="shared" si="1"/>
        <v>2062</v>
      </c>
      <c r="B43" s="3" t="e">
        <f>IFERROR(VLOOKUP($A43,$L$7:$M$11,2,0),B42*(1+Data!$D$15))</f>
        <v>#N/A</v>
      </c>
      <c r="C43" s="2"/>
      <c r="D43" s="2"/>
      <c r="E43" s="2">
        <f>+IFERROR(VLOOKUP(A43,tablemax[],3,0),E42*(1+$E$2))</f>
        <v>262148</v>
      </c>
      <c r="F43" s="103" t="e">
        <f t="shared" si="0"/>
        <v>#NUM!</v>
      </c>
      <c r="G43" s="2"/>
    </row>
    <row r="44" spans="1:10" x14ac:dyDescent="0.2">
      <c r="A44">
        <f t="shared" si="1"/>
        <v>2063</v>
      </c>
      <c r="B44" s="3" t="e">
        <f>IFERROR(VLOOKUP($A44,$L$7:$M$11,2,0),B43*(1+Data!$D$15))</f>
        <v>#N/A</v>
      </c>
      <c r="C44" s="2"/>
      <c r="D44" s="2"/>
      <c r="E44" s="2">
        <f>+IFERROR(VLOOKUP(A44,tablemax[],3,0),E43*(1+$E$2))</f>
        <v>262148</v>
      </c>
      <c r="F44" s="103" t="e">
        <f t="shared" si="0"/>
        <v>#NUM!</v>
      </c>
      <c r="G44" s="2"/>
    </row>
    <row r="45" spans="1:10" x14ac:dyDescent="0.2">
      <c r="A45">
        <f t="shared" si="1"/>
        <v>2064</v>
      </c>
      <c r="B45" s="3" t="e">
        <f>IFERROR(VLOOKUP($A45,$L$7:$M$11,2,0),B44*(1+Data!$D$15))</f>
        <v>#N/A</v>
      </c>
      <c r="C45" s="2"/>
      <c r="D45" s="2"/>
      <c r="E45" s="2">
        <f>+IFERROR(VLOOKUP(A45,tablemax[],3,0),E44*(1+$E$2))</f>
        <v>262148</v>
      </c>
      <c r="F45" s="103" t="e">
        <f t="shared" si="0"/>
        <v>#NUM!</v>
      </c>
      <c r="G45" s="2"/>
    </row>
    <row r="46" spans="1:10" x14ac:dyDescent="0.2">
      <c r="A46">
        <f t="shared" si="1"/>
        <v>2065</v>
      </c>
      <c r="B46" s="3" t="e">
        <f>IFERROR(VLOOKUP($A46,$L$7:$M$11,2,0),B45*(1+Data!$D$15))</f>
        <v>#N/A</v>
      </c>
      <c r="C46" s="2"/>
      <c r="D46" s="2"/>
      <c r="E46" s="2">
        <f>+IFERROR(VLOOKUP(A46,tablemax[],3,0),E45*(1+$E$2))</f>
        <v>262148</v>
      </c>
      <c r="F46" s="103" t="e">
        <f t="shared" si="0"/>
        <v>#NUM!</v>
      </c>
      <c r="G46" s="2"/>
    </row>
    <row r="47" spans="1:10" x14ac:dyDescent="0.2">
      <c r="A47">
        <f t="shared" si="1"/>
        <v>2066</v>
      </c>
      <c r="B47" s="3" t="e">
        <f>IFERROR(VLOOKUP($A47,$L$7:$M$11,2,0),B46*(1+Data!$D$15))</f>
        <v>#N/A</v>
      </c>
      <c r="C47" s="2"/>
      <c r="D47" s="2"/>
      <c r="E47" s="2">
        <f>+IFERROR(VLOOKUP(A47,tablemax[],3,0),E46*(1+$E$2))</f>
        <v>262148</v>
      </c>
      <c r="F47" s="103" t="e">
        <f t="shared" si="0"/>
        <v>#NUM!</v>
      </c>
      <c r="G47" s="2"/>
    </row>
    <row r="48" spans="1:10" x14ac:dyDescent="0.2">
      <c r="A48">
        <f t="shared" si="1"/>
        <v>2067</v>
      </c>
      <c r="B48" s="3" t="e">
        <f>IFERROR(VLOOKUP($A48,$L$7:$M$11,2,0),B47*(1+Data!$D$15))</f>
        <v>#N/A</v>
      </c>
      <c r="C48" s="2"/>
      <c r="D48" s="2"/>
      <c r="E48" s="2">
        <f>+IFERROR(VLOOKUP(A48,tablemax[],3,0),E47*(1+$E$2))</f>
        <v>262148</v>
      </c>
      <c r="F48" s="103" t="e">
        <f t="shared" si="0"/>
        <v>#NUM!</v>
      </c>
      <c r="G48" s="2"/>
    </row>
    <row r="49" spans="1:7" x14ac:dyDescent="0.2">
      <c r="A49">
        <f t="shared" si="1"/>
        <v>2068</v>
      </c>
      <c r="B49" s="3" t="e">
        <f>IFERROR(VLOOKUP($A49,$L$7:$M$11,2,0),B48*(1+Data!$D$15))</f>
        <v>#N/A</v>
      </c>
      <c r="C49" s="2"/>
      <c r="D49" s="2"/>
      <c r="E49" s="2">
        <f>+IFERROR(VLOOKUP(A49,tablemax[],3,0),E48*(1+$E$2))</f>
        <v>262148</v>
      </c>
      <c r="F49" s="103" t="e">
        <f t="shared" si="0"/>
        <v>#NUM!</v>
      </c>
      <c r="G49" s="2"/>
    </row>
    <row r="50" spans="1:7" x14ac:dyDescent="0.2">
      <c r="A50">
        <f t="shared" si="1"/>
        <v>2069</v>
      </c>
      <c r="B50" s="3" t="e">
        <f>IFERROR(VLOOKUP($A50,$L$7:$M$11,2,0),B49*(1+Data!$D$15))</f>
        <v>#N/A</v>
      </c>
      <c r="C50" s="2"/>
      <c r="D50" s="2"/>
      <c r="E50" s="2">
        <f>+IFERROR(VLOOKUP(A50,tablemax[],3,0),E49*(1+$E$2))</f>
        <v>262148</v>
      </c>
      <c r="F50" s="103" t="e">
        <f t="shared" si="0"/>
        <v>#NUM!</v>
      </c>
      <c r="G50" s="2"/>
    </row>
    <row r="51" spans="1:7" x14ac:dyDescent="0.2">
      <c r="A51">
        <f t="shared" si="1"/>
        <v>2070</v>
      </c>
      <c r="B51" s="3" t="e">
        <f>IFERROR(VLOOKUP($A51,$L$7:$M$11,2,0),B50*(1+Data!$D$15))</f>
        <v>#N/A</v>
      </c>
      <c r="C51" s="2"/>
      <c r="D51" s="2"/>
      <c r="E51" s="2">
        <f>+IFERROR(VLOOKUP(A51,tablemax[],3,0),E50*(1+$E$2))</f>
        <v>262148</v>
      </c>
      <c r="F51" s="103" t="e">
        <f t="shared" si="0"/>
        <v>#NUM!</v>
      </c>
      <c r="G51" s="2"/>
    </row>
    <row r="52" spans="1:7" x14ac:dyDescent="0.2">
      <c r="A52">
        <f t="shared" si="1"/>
        <v>2071</v>
      </c>
      <c r="B52" s="3" t="e">
        <f>IFERROR(VLOOKUP($A52,$L$7:$M$11,2,0),B51*(1+Data!$D$15))</f>
        <v>#N/A</v>
      </c>
      <c r="C52" s="2"/>
      <c r="D52" s="2"/>
      <c r="E52" s="2">
        <f>+IFERROR(VLOOKUP(A52,tablemax[],3,0),E51*(1+$E$2))</f>
        <v>262148</v>
      </c>
      <c r="F52" s="103" t="e">
        <f t="shared" si="0"/>
        <v>#NUM!</v>
      </c>
      <c r="G52" s="2"/>
    </row>
    <row r="53" spans="1:7" x14ac:dyDescent="0.2">
      <c r="A53">
        <f t="shared" si="1"/>
        <v>2072</v>
      </c>
      <c r="B53" s="3" t="e">
        <f>IFERROR(VLOOKUP($A53,$L$7:$M$11,2,0),B52*(1+Data!$D$15))</f>
        <v>#N/A</v>
      </c>
      <c r="C53" s="2"/>
      <c r="D53" s="2"/>
      <c r="E53" s="2">
        <f>+IFERROR(VLOOKUP(A53,tablemax[],3,0),E52*(1+$E$2))</f>
        <v>262148</v>
      </c>
      <c r="F53" s="103" t="e">
        <f t="shared" si="0"/>
        <v>#NUM!</v>
      </c>
      <c r="G53" s="2"/>
    </row>
    <row r="54" spans="1:7" x14ac:dyDescent="0.2">
      <c r="A54">
        <f t="shared" si="1"/>
        <v>2073</v>
      </c>
      <c r="B54" s="3" t="e">
        <f>IFERROR(VLOOKUP($A54,$L$7:$M$11,2,0),B53*(1+Data!$D$15))</f>
        <v>#N/A</v>
      </c>
      <c r="C54" s="2"/>
      <c r="D54" s="2"/>
      <c r="E54" s="2">
        <f>+IFERROR(VLOOKUP(A54,tablemax[],3,0),E53*(1+$E$2))</f>
        <v>262148</v>
      </c>
      <c r="F54" s="103" t="e">
        <f t="shared" si="0"/>
        <v>#NUM!</v>
      </c>
      <c r="G54" s="2"/>
    </row>
    <row r="55" spans="1:7" x14ac:dyDescent="0.2">
      <c r="A55">
        <f t="shared" si="1"/>
        <v>2074</v>
      </c>
      <c r="B55" s="3" t="e">
        <f>IFERROR(VLOOKUP($A55,$L$7:$M$11,2,0),B54*(1+Data!$D$15))</f>
        <v>#N/A</v>
      </c>
      <c r="C55" s="2"/>
      <c r="D55" s="2"/>
      <c r="E55" s="2">
        <f>+IFERROR(VLOOKUP(A55,tablemax[],3,0),E54*(1+$E$2))</f>
        <v>262148</v>
      </c>
      <c r="F55" s="103" t="e">
        <f t="shared" si="0"/>
        <v>#NUM!</v>
      </c>
      <c r="G55" s="2"/>
    </row>
  </sheetData>
  <protectedRanges>
    <protectedRange password="A4FF" sqref="M7:M10" name="Range1_1"/>
    <protectedRange password="A4FF" sqref="M11" name="Range1"/>
  </protectedRanges>
  <phoneticPr fontId="2" type="noConversion"/>
  <dataValidations count="1">
    <dataValidation type="decimal" allowBlank="1" showInputMessage="1" showErrorMessage="1" promptTitle="Entrez votre salaire annuel" prompt="Faire la moyenne de votre salaire annuel régulier plus les primes administratives  Les surcharges ne doivent pas être incluses dans le calcul" sqref="M7:M11" xr:uid="{00000000-0002-0000-0100-000000000000}">
      <formula1>0</formula1>
      <formula2>999999</formula2>
    </dataValidation>
  </dataValidations>
  <hyperlinks>
    <hyperlink ref="H3" r:id="rId1" xr:uid="{00000000-0004-0000-0100-000000000000}"/>
  </hyperlinks>
  <printOptions horizontalCentered="1"/>
  <pageMargins left="0.75" right="0.75" top="1" bottom="1" header="0.5" footer="0.5"/>
  <pageSetup orientation="portrait" r:id="rId2"/>
  <headerFooter alignWithMargins="0">
    <oddFooter>&amp;L&amp;D&amp;R&amp;Z&amp;F</oddFooter>
  </headerFooter>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Data</vt:lpstr>
      <vt:lpstr>Calculatrice</vt:lpstr>
      <vt:lpstr>Data!Print_Area</vt:lpstr>
    </vt:vector>
  </TitlesOfParts>
  <Company>Assomption Vie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nathalie.joseph</dc:creator>
  <cp:lastModifiedBy>Stéphanie LeBlanc</cp:lastModifiedBy>
  <cp:lastPrinted>2025-05-28T16:27:59Z</cp:lastPrinted>
  <dcterms:created xsi:type="dcterms:W3CDTF">2009-04-08T12:38:10Z</dcterms:created>
  <dcterms:modified xsi:type="dcterms:W3CDTF">2026-08-27T13:19:52Z</dcterms:modified>
</cp:coreProperties>
</file>