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Pierreluc.bouchard\AppData\Local\Microsoft\Windows\INetCache\Content.Outlook\AQEZUA44\"/>
    </mc:Choice>
  </mc:AlternateContent>
  <workbookProtection workbookAlgorithmName="SHA-512" workbookHashValue="oCxt9LX+FkSsOl0ZcY2iuXMzFRfJaZFkAkZZnucC9iWU4tNIh6PNOEpgpcE4P6cp+uVSyHOu0tJ4x864yGMzXQ==" workbookSaltValue="pg0cUZGguhZWm2Ij2KkFuw==" workbookSpinCount="100000" lockStructure="1"/>
  <bookViews>
    <workbookView xWindow="0" yWindow="0" windowWidth="25200" windowHeight="11250"/>
  </bookViews>
  <sheets>
    <sheet name="Data" sheetId="4" r:id="rId1"/>
    <sheet name="Calculatrice" sheetId="3" state="hidden" r:id="rId2"/>
  </sheets>
  <definedNames>
    <definedName name="_xlnm.Print_Area" localSheetId="0">Data!$A$1:$H$79</definedName>
  </definedNames>
  <calcPr calcId="162913"/>
</workbook>
</file>

<file path=xl/calcChain.xml><?xml version="1.0" encoding="utf-8"?>
<calcChain xmlns="http://schemas.openxmlformats.org/spreadsheetml/2006/main">
  <c r="B71" i="4" l="1"/>
  <c r="B33" i="4" l="1"/>
  <c r="J41" i="3"/>
  <c r="E93" i="4" l="1"/>
  <c r="E65" i="4" l="1"/>
  <c r="E55" i="4"/>
  <c r="B61" i="4" l="1"/>
  <c r="E45" i="4"/>
  <c r="N28" i="4"/>
  <c r="B19" i="4" l="1"/>
  <c r="M18" i="3" l="1"/>
  <c r="M17" i="3" l="1"/>
  <c r="B30" i="4" l="1"/>
  <c r="B31" i="4" s="1"/>
  <c r="T6" i="4"/>
  <c r="M11" i="3" s="1"/>
  <c r="T5" i="4"/>
  <c r="S5" i="4"/>
  <c r="S6" i="4"/>
  <c r="L11" i="3" s="1"/>
  <c r="L10" i="3" s="1"/>
  <c r="L9" i="3" s="1"/>
  <c r="L8" i="3" s="1"/>
  <c r="P6" i="4"/>
  <c r="N6" i="4"/>
  <c r="N7" i="4" s="1"/>
  <c r="N8" i="4" s="1"/>
  <c r="N9" i="4" s="1"/>
  <c r="N10" i="4" s="1"/>
  <c r="N11" i="4" s="1"/>
  <c r="P7" i="4" l="1"/>
  <c r="P8" i="4" s="1"/>
  <c r="P9" i="4" s="1"/>
  <c r="P10" i="4" s="1"/>
  <c r="P11" i="4" s="1"/>
  <c r="P12" i="4" s="1"/>
  <c r="P13" i="4" s="1"/>
  <c r="P14" i="4" s="1"/>
  <c r="P15" i="4" s="1"/>
  <c r="P16" i="4" s="1"/>
  <c r="B37" i="4"/>
  <c r="B70" i="4"/>
  <c r="B68" i="4"/>
  <c r="B72" i="4"/>
  <c r="L7" i="3"/>
  <c r="T7" i="4"/>
  <c r="N13" i="4"/>
  <c r="N14" i="4" s="1"/>
  <c r="N12" i="4"/>
  <c r="N15" i="4" s="1"/>
  <c r="N16" i="4" s="1"/>
  <c r="N17" i="4" s="1"/>
  <c r="N18" i="4" s="1"/>
  <c r="N19" i="4" s="1"/>
  <c r="N20" i="4" s="1"/>
  <c r="N21" i="4" s="1"/>
  <c r="N22" i="4" s="1"/>
  <c r="N23" i="4" s="1"/>
  <c r="M10" i="3" l="1"/>
  <c r="J40" i="3"/>
  <c r="M9" i="3" l="1"/>
  <c r="M8" i="3" s="1"/>
  <c r="M7" i="3" s="1"/>
  <c r="J39" i="3"/>
  <c r="A4" i="3"/>
  <c r="F4" i="3" s="1"/>
  <c r="B4" i="3" l="1"/>
  <c r="J38" i="3"/>
  <c r="J37" i="3" l="1"/>
  <c r="J36" i="3" l="1"/>
  <c r="J35" i="3" l="1"/>
  <c r="J34" i="3"/>
  <c r="J32" i="3"/>
  <c r="J31" i="3"/>
  <c r="J30" i="3"/>
  <c r="J33" i="3"/>
  <c r="J6" i="3" l="1"/>
  <c r="J7" i="3"/>
  <c r="J8" i="3"/>
  <c r="J9" i="3"/>
  <c r="J10" i="3"/>
  <c r="J11" i="3"/>
  <c r="J12" i="3"/>
  <c r="J13" i="3"/>
  <c r="J14" i="3"/>
  <c r="J15" i="3"/>
  <c r="J16" i="3"/>
  <c r="J17" i="3"/>
  <c r="J18" i="3"/>
  <c r="J19" i="3"/>
  <c r="J20" i="3"/>
  <c r="J21" i="3"/>
  <c r="J22" i="3"/>
  <c r="J23" i="3"/>
  <c r="J24" i="3"/>
  <c r="J25" i="3"/>
  <c r="J26" i="3"/>
  <c r="J27" i="3"/>
  <c r="J28" i="3"/>
  <c r="J29" i="3"/>
  <c r="E35" i="4" l="1"/>
  <c r="E42" i="4" s="1"/>
  <c r="B41" i="4"/>
  <c r="B51" i="4" l="1"/>
  <c r="E2" i="3" l="1"/>
  <c r="E26" i="4"/>
  <c r="D26" i="4"/>
  <c r="F35" i="4" l="1"/>
  <c r="E52" i="4" l="1"/>
  <c r="E62" i="4"/>
  <c r="E4" i="3"/>
  <c r="A5" i="3"/>
  <c r="F5" i="3" s="1"/>
  <c r="E5" i="3" l="1"/>
  <c r="B5" i="3"/>
  <c r="A6" i="3"/>
  <c r="F6" i="3" s="1"/>
  <c r="E6" i="3" l="1"/>
  <c r="B6" i="3"/>
  <c r="A7" i="3"/>
  <c r="B3" i="4" l="1"/>
  <c r="F7" i="3"/>
  <c r="E7" i="3"/>
  <c r="B7" i="3"/>
  <c r="B8" i="3" s="1"/>
  <c r="A8" i="3"/>
  <c r="F8" i="3" s="1"/>
  <c r="E8" i="3" l="1"/>
  <c r="E9" i="3" s="1"/>
  <c r="A9" i="3"/>
  <c r="B9" i="3" s="1"/>
  <c r="A10" i="3" l="1"/>
  <c r="B10" i="3" s="1"/>
  <c r="F9" i="3"/>
  <c r="A11" i="3" l="1"/>
  <c r="B11" i="3" s="1"/>
  <c r="F10" i="3"/>
  <c r="E10" i="3"/>
  <c r="E11" i="3" s="1"/>
  <c r="A12" i="3" l="1"/>
  <c r="B12" i="3" s="1"/>
  <c r="F11" i="3"/>
  <c r="A13" i="3" l="1"/>
  <c r="B13" i="3" s="1"/>
  <c r="F12" i="3"/>
  <c r="E12" i="3"/>
  <c r="E13" i="3" s="1"/>
  <c r="A14" i="3" l="1"/>
  <c r="B14" i="3" s="1"/>
  <c r="F13" i="3"/>
  <c r="A15" i="3" l="1"/>
  <c r="B15" i="3" s="1"/>
  <c r="F14" i="3"/>
  <c r="E14" i="3"/>
  <c r="E15" i="3" l="1"/>
  <c r="M21" i="3"/>
  <c r="A16" i="3"/>
  <c r="B16" i="3" s="1"/>
  <c r="F15" i="3"/>
  <c r="A17" i="3" l="1"/>
  <c r="B17" i="3" s="1"/>
  <c r="F16" i="3"/>
  <c r="E16" i="3"/>
  <c r="E17" i="3" s="1"/>
  <c r="A18" i="3" l="1"/>
  <c r="B18" i="3" s="1"/>
  <c r="F17" i="3"/>
  <c r="A19" i="3" l="1"/>
  <c r="B19" i="3" s="1"/>
  <c r="F18" i="3"/>
  <c r="E18" i="3"/>
  <c r="E19" i="3" s="1"/>
  <c r="A20" i="3" l="1"/>
  <c r="B20" i="3" s="1"/>
  <c r="F19" i="3"/>
  <c r="A21" i="3" l="1"/>
  <c r="B21" i="3" s="1"/>
  <c r="F20" i="3"/>
  <c r="E20" i="3"/>
  <c r="E21" i="3" s="1"/>
  <c r="A22" i="3" l="1"/>
  <c r="B22" i="3" s="1"/>
  <c r="F21" i="3"/>
  <c r="A23" i="3" l="1"/>
  <c r="B23" i="3" s="1"/>
  <c r="F22" i="3"/>
  <c r="E22" i="3"/>
  <c r="A24" i="3" l="1"/>
  <c r="B24" i="3" s="1"/>
  <c r="F23" i="3"/>
  <c r="E23" i="3"/>
  <c r="E24" i="3" s="1"/>
  <c r="A25" i="3" l="1"/>
  <c r="B25" i="3" s="1"/>
  <c r="F24" i="3"/>
  <c r="A26" i="3" l="1"/>
  <c r="B26" i="3" s="1"/>
  <c r="F25" i="3"/>
  <c r="E25" i="3"/>
  <c r="E26" i="3" s="1"/>
  <c r="A27" i="3" l="1"/>
  <c r="B27" i="3" s="1"/>
  <c r="F26" i="3"/>
  <c r="A28" i="3" l="1"/>
  <c r="B28" i="3" s="1"/>
  <c r="F27" i="3"/>
  <c r="E27" i="3"/>
  <c r="E28" i="3" s="1"/>
  <c r="A29" i="3" l="1"/>
  <c r="B29" i="3" s="1"/>
  <c r="F28" i="3"/>
  <c r="A30" i="3" l="1"/>
  <c r="B30" i="3" s="1"/>
  <c r="F29" i="3"/>
  <c r="E29" i="3"/>
  <c r="E30" i="3" s="1"/>
  <c r="A31" i="3" l="1"/>
  <c r="B31" i="3" s="1"/>
  <c r="F30" i="3"/>
  <c r="A32" i="3" l="1"/>
  <c r="B32" i="3" s="1"/>
  <c r="F31" i="3"/>
  <c r="E31" i="3"/>
  <c r="E32" i="3" s="1"/>
  <c r="A33" i="3" l="1"/>
  <c r="B33" i="3" s="1"/>
  <c r="F32" i="3"/>
  <c r="A34" i="3" l="1"/>
  <c r="B34" i="3" s="1"/>
  <c r="F33" i="3"/>
  <c r="E33" i="3"/>
  <c r="E34" i="3" s="1"/>
  <c r="A35" i="3" l="1"/>
  <c r="B35" i="3" s="1"/>
  <c r="F34" i="3"/>
  <c r="A36" i="3" l="1"/>
  <c r="B36" i="3" s="1"/>
  <c r="F35" i="3"/>
  <c r="E35" i="3"/>
  <c r="E36" i="3" s="1"/>
  <c r="A37" i="3" l="1"/>
  <c r="B37" i="3" s="1"/>
  <c r="F36" i="3"/>
  <c r="A38" i="3" l="1"/>
  <c r="B38" i="3" s="1"/>
  <c r="F37" i="3"/>
  <c r="E37" i="3"/>
  <c r="E38" i="3" s="1"/>
  <c r="A39" i="3" l="1"/>
  <c r="B39" i="3" s="1"/>
  <c r="F38" i="3"/>
  <c r="A40" i="3" l="1"/>
  <c r="B40" i="3" s="1"/>
  <c r="F39" i="3"/>
  <c r="E39" i="3"/>
  <c r="E40" i="3" s="1"/>
  <c r="A41" i="3" l="1"/>
  <c r="B41" i="3" s="1"/>
  <c r="F40" i="3"/>
  <c r="A42" i="3" l="1"/>
  <c r="B42" i="3" s="1"/>
  <c r="F41" i="3"/>
  <c r="E41" i="3"/>
  <c r="E42" i="3" s="1"/>
  <c r="A43" i="3" l="1"/>
  <c r="B43" i="3" s="1"/>
  <c r="F42" i="3"/>
  <c r="A44" i="3" l="1"/>
  <c r="B44" i="3" s="1"/>
  <c r="F43" i="3"/>
  <c r="E43" i="3"/>
  <c r="E44" i="3" s="1"/>
  <c r="A45" i="3" l="1"/>
  <c r="B45" i="3" s="1"/>
  <c r="F44" i="3"/>
  <c r="A46" i="3" l="1"/>
  <c r="B46" i="3" s="1"/>
  <c r="F45" i="3"/>
  <c r="E45" i="3"/>
  <c r="E46" i="3" s="1"/>
  <c r="A47" i="3" l="1"/>
  <c r="B47" i="3" s="1"/>
  <c r="F46" i="3"/>
  <c r="A48" i="3" l="1"/>
  <c r="B48" i="3" s="1"/>
  <c r="F47" i="3"/>
  <c r="E47" i="3"/>
  <c r="E48" i="3" s="1"/>
  <c r="A49" i="3" l="1"/>
  <c r="B49" i="3" s="1"/>
  <c r="F48" i="3"/>
  <c r="A50" i="3" l="1"/>
  <c r="B50" i="3" s="1"/>
  <c r="F49" i="3"/>
  <c r="E49" i="3"/>
  <c r="E50" i="3" s="1"/>
  <c r="A51" i="3" l="1"/>
  <c r="B51" i="3" s="1"/>
  <c r="F50" i="3"/>
  <c r="A52" i="3" l="1"/>
  <c r="B52" i="3" s="1"/>
  <c r="F51" i="3"/>
  <c r="E51" i="3"/>
  <c r="E52" i="3" s="1"/>
  <c r="A53" i="3" l="1"/>
  <c r="B53" i="3" s="1"/>
  <c r="F52" i="3"/>
  <c r="A54" i="3" l="1"/>
  <c r="B54" i="3" s="1"/>
  <c r="F53" i="3"/>
  <c r="E53" i="3"/>
  <c r="E54" i="3" s="1"/>
  <c r="A55" i="3" l="1"/>
  <c r="F55" i="3" s="1"/>
  <c r="F54" i="3"/>
  <c r="B55" i="3" l="1"/>
  <c r="M20" i="3"/>
  <c r="D87" i="4" s="1"/>
  <c r="E66" i="4" s="1"/>
  <c r="E55" i="3"/>
  <c r="E56" i="4" l="1"/>
  <c r="E87" i="4"/>
  <c r="F66" i="4" s="1"/>
  <c r="E89" i="4" l="1"/>
  <c r="E41" i="4" s="1"/>
  <c r="E43" i="4" s="1"/>
  <c r="F47" i="4" s="1"/>
  <c r="E46" i="4"/>
  <c r="E90" i="4"/>
  <c r="E51" i="4" s="1"/>
  <c r="E53" i="4" s="1"/>
  <c r="F57" i="4" s="1"/>
  <c r="F68" i="4" s="1"/>
  <c r="E91" i="4"/>
  <c r="E61" i="4" s="1"/>
  <c r="E63" i="4" s="1"/>
  <c r="F67" i="4" s="1"/>
  <c r="F70" i="4" s="1"/>
  <c r="F56" i="4"/>
  <c r="F72" i="4" l="1"/>
  <c r="E73" i="4"/>
</calcChain>
</file>

<file path=xl/sharedStrings.xml><?xml version="1.0" encoding="utf-8"?>
<sst xmlns="http://schemas.openxmlformats.org/spreadsheetml/2006/main" count="102" uniqueCount="88">
  <si>
    <t>Mois</t>
  </si>
  <si>
    <t>Année</t>
  </si>
  <si>
    <t>Salaire pour calcul</t>
  </si>
  <si>
    <t>max impôt</t>
  </si>
  <si>
    <t>Salaire carrière</t>
  </si>
  <si>
    <t>Salaire moyen final 3 ans à la date de retraite prévue:</t>
  </si>
  <si>
    <t>Rente pour service &lt; 2013</t>
  </si>
  <si>
    <t>Rente pour service avant 2014:</t>
  </si>
  <si>
    <t>limit</t>
  </si>
  <si>
    <t>Jour</t>
  </si>
  <si>
    <t>Salaire annuel</t>
  </si>
  <si>
    <t>Nom :</t>
  </si>
  <si>
    <t>Date de retraite désirée:</t>
  </si>
  <si>
    <t>avec règle de 90</t>
  </si>
  <si>
    <t>sans règle de 90</t>
  </si>
  <si>
    <t>(AAAA)</t>
  </si>
  <si>
    <t>(MM)</t>
  </si>
  <si>
    <t>Moyenne salariale - 3 meilleures années (plafond salarial 86 111 $)</t>
  </si>
  <si>
    <t>Pourcentage annuel d'augmentation  salariale future</t>
  </si>
  <si>
    <t>Nombre d'années de  service créditées avant 2014</t>
  </si>
  <si>
    <t># mois pour atteindre la retraite désirée versus la date de retraite normale                                                                            ( Utilisé pour le calcul de la pénalité)</t>
  </si>
  <si>
    <t>Moyenne salariale - 3 meilleures années (sujet à la limite prescrite)</t>
  </si>
  <si>
    <t xml:space="preserve">Limite </t>
  </si>
  <si>
    <t>Réduction %</t>
  </si>
  <si>
    <t>Réduction $</t>
  </si>
  <si>
    <t>Estimation de prestation annuelle à la retraite</t>
  </si>
  <si>
    <t>Prestation accumulée jusqu'au 31 décembre 2013</t>
  </si>
  <si>
    <t>Prestation accumulée à partir de janvier 2014</t>
  </si>
  <si>
    <t>https://www.canada.ca/en/revenue-agency/services/tax/registered-plans-administrators/pspa/mp-rrsp-dpsp-tfsa-limits-ympe.html</t>
  </si>
  <si>
    <t>Plafond des PD</t>
  </si>
  <si>
    <t>Salaire max</t>
  </si>
  <si>
    <t>Les renseignements et la calculatrice interactive vous sont offerts en tant qu'outils libre-service pour votre usage personnel. L’information présentée ou y figurant est de nature générale et est mise à votre disposition à titre d’information générale seulement et « telle quelle », sans aucune garantie notamment au niveau de son exactitude ou de sa caducité. Cette information ne doit pas être interprétée comme constituant un ou des conseils ou avis professionnel. Si vous avez besoin de conseils particuliers, veuillez consulter un professionnel qualifié dans ce domaine. Pour de l’information générale, vous pouvez vous adresser au service des ressources humaines de l’Université.</t>
  </si>
  <si>
    <t>Avis :</t>
  </si>
  <si>
    <t>janvier</t>
  </si>
  <si>
    <t>février</t>
  </si>
  <si>
    <t>mars</t>
  </si>
  <si>
    <t>avril</t>
  </si>
  <si>
    <t>août</t>
  </si>
  <si>
    <t>septembre</t>
  </si>
  <si>
    <t>octobre</t>
  </si>
  <si>
    <t>novembre</t>
  </si>
  <si>
    <t>décembre</t>
  </si>
  <si>
    <t>Indiquer l’augmentation future annuelle que vous prévoyez pour votre salaire. Si vous ne savez pas ou que vous pensez que votre salaire n’augmentera pas, indiquez 0.00%.</t>
  </si>
  <si>
    <r>
      <t>Date à l'âge 65 ans</t>
    </r>
    <r>
      <rPr>
        <sz val="11"/>
        <rFont val="Arial"/>
        <family val="2"/>
      </rPr>
      <t xml:space="preserve"> (1</t>
    </r>
    <r>
      <rPr>
        <vertAlign val="superscript"/>
        <sz val="11"/>
        <rFont val="Arial"/>
        <family val="2"/>
      </rPr>
      <t>er</t>
    </r>
    <r>
      <rPr>
        <sz val="11"/>
        <rFont val="Arial"/>
        <family val="2"/>
      </rPr>
      <t xml:space="preserve"> du mois suivant, services après 2014)</t>
    </r>
  </si>
  <si>
    <r>
      <t xml:space="preserve">Date de retraite normale: </t>
    </r>
    <r>
      <rPr>
        <sz val="11"/>
        <rFont val="Arial"/>
        <family val="2"/>
      </rPr>
      <t>(services avant 2014 si applicable)</t>
    </r>
  </si>
  <si>
    <t>Régime de pension des professeures, professeurs et bibliothécaires de l'Université de Moncton</t>
  </si>
  <si>
    <r>
      <t>Montant  total de la réduction :</t>
    </r>
    <r>
      <rPr>
        <b/>
        <sz val="10"/>
        <color rgb="FFFF0000"/>
        <rFont val="Arial"/>
        <family val="2"/>
      </rPr>
      <t xml:space="preserve"> (déjà réduit du montant de la prestation estimée)</t>
    </r>
  </si>
  <si>
    <t>Date d'adhésion au régime :</t>
  </si>
  <si>
    <t>Salaire final moyen utilisé pour le calcul de votre prestation :</t>
  </si>
  <si>
    <t>Date de naissance :</t>
  </si>
  <si>
    <t>Date du relevé utilisé :</t>
  </si>
  <si>
    <t>Show, tout voir : Hide, pour client</t>
  </si>
  <si>
    <t>Indexation disponible</t>
  </si>
  <si>
    <t>Équivalent</t>
  </si>
  <si>
    <t>mai</t>
  </si>
  <si>
    <t>juin</t>
  </si>
  <si>
    <t>juillet</t>
  </si>
  <si>
    <t>Date actuelle :</t>
  </si>
  <si>
    <t>Salaire</t>
  </si>
  <si>
    <t>Estimation annuelle</t>
  </si>
  <si>
    <t>Salaire annuel actuel :</t>
  </si>
  <si>
    <t>(selon le relevé de pension - p.4)</t>
  </si>
  <si>
    <t>(selon la page couverture de votre relevé)</t>
  </si>
  <si>
    <t>Pour calcul moyenne 3 années</t>
  </si>
  <si>
    <t>Date début salaire final</t>
  </si>
  <si>
    <t>Date de retraite</t>
  </si>
  <si>
    <t>Salaire moyen final</t>
  </si>
  <si>
    <t>Salaire max possible</t>
  </si>
  <si>
    <t>Depuis 2025
(avec indexation)</t>
  </si>
  <si>
    <t>Rente pour service 2014 à 2024:</t>
  </si>
  <si>
    <t>Rente pour service depuis 2025:</t>
  </si>
  <si>
    <t>Calcul de vos acquis de pension à partir du 1er janvier 2025  (après l'actualisation du régime)</t>
  </si>
  <si>
    <t>Prestation accumulée à partir de janvier 2025</t>
  </si>
  <si>
    <t>Nombre d'années de service créditées entre 2014 et 2024</t>
  </si>
  <si>
    <t>Nombre d'années de service créditées à partir de 2025</t>
  </si>
  <si>
    <t>(sans indexation)</t>
  </si>
  <si>
    <t>date de retraite</t>
  </si>
  <si>
    <t>Hide</t>
  </si>
  <si>
    <t>Calcul de vos acquis de pension jusqu'au 31 décembre 2013  ( avant l'actualisation du régime)</t>
  </si>
  <si>
    <t>Calcul de vos acquis de pension du 1er janvier 2014  au 31 décembre 2024 (après l'actualisation du régime)</t>
  </si>
  <si>
    <t>Avant 1992</t>
  </si>
  <si>
    <t xml:space="preserve"> Rachat Avant 1992</t>
  </si>
  <si>
    <t>Depuis 1992</t>
  </si>
  <si>
    <t xml:space="preserve"> Rachat Depuis 1992</t>
  </si>
  <si>
    <t>Depuis 2014</t>
  </si>
  <si>
    <t>Attention : Le % d'augmentation salarial indiqué influencera le montant futur de vos prestations.</t>
  </si>
  <si>
    <t>*Indexation :</t>
  </si>
  <si>
    <r>
      <t>Commençant le 1</t>
    </r>
    <r>
      <rPr>
        <vertAlign val="superscript"/>
        <sz val="11"/>
        <color theme="1"/>
        <rFont val="Arial"/>
        <family val="2"/>
      </rPr>
      <t>er</t>
    </r>
    <r>
      <rPr>
        <sz val="11"/>
        <color theme="1"/>
        <rFont val="Arial"/>
        <family val="2"/>
      </rPr>
      <t xml:space="preserve"> janvier de l'année qui suit l'année au cours de laquelle les prestations de pension ont commencé à être versées, la prestation de pension sera augmentée annuellement en proportion de la moyenne annuelle de l'Indice canadien des prix à la consommation mensuel pour la période de douze mois se terminant le 31 octobre divisée par la moyenne annuelle de l'Indice canadien des prix à la consommation mensuel pour la période de douze mois se terminant le 31 octobre de l'année précédente. L'augmentation est limitée à 5% par an. Si les versements de la rente du participant ou de la participante ont débuté dans l'année qui précède l'année de l'ajustement, le ratio d'indexation s'applique au prorate du nombre de mois écoulés entre le début des versements et le 1</t>
    </r>
    <r>
      <rPr>
        <vertAlign val="superscript"/>
        <sz val="11"/>
        <color theme="1"/>
        <rFont val="Arial"/>
        <family val="2"/>
      </rPr>
      <t>er</t>
    </r>
    <r>
      <rPr>
        <sz val="11"/>
        <color theme="1"/>
        <rFont val="Arial"/>
        <family val="2"/>
      </rPr>
      <t xml:space="preserve"> janvier qui suit.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</si>
</sst>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7" formatCode="&quot;$&quot;#,##0.00_);\(&quot;$&quot;#,##0.00\)"/>
    <numFmt numFmtId="44" formatCode="_(&quot;$&quot;* #,##0.00_);_(&quot;$&quot;* \(#,##0.00\);_(&quot;$&quot;* &quot;-&quot;??_);_(@_)"/>
    <numFmt numFmtId="164" formatCode="&quot;$&quot;#,##0.00;[Red]\-&quot;$&quot;#,##0.00"/>
    <numFmt numFmtId="165" formatCode="[$-C0C]d\ mmm\ yyyy;@"/>
    <numFmt numFmtId="166" formatCode="&quot;$&quot;#,##0.00"/>
    <numFmt numFmtId="167" formatCode="General_)"/>
    <numFmt numFmtId="168" formatCode="[$-F800]dddd\,\ mmmm\ dd\,\ yyyy"/>
    <numFmt numFmtId="169" formatCode="#,##0\ &quot;$&quot;"/>
    <numFmt numFmtId="170" formatCode="0.0000"/>
    <numFmt numFmtId="171" formatCode="[$-C0C]mmmm"/>
    <numFmt numFmtId="172" formatCode="#,##0\ &quot;$&quot;_);\(#,##0\ &quot;$&quot;\)"/>
    <numFmt numFmtId="173" formatCode="#,##0.00\ [$$-C0C]_);\(#,##0.00\ [$$-C0C]\)"/>
  </numFmts>
  <fonts count="34" x14ac:knownFonts="1">
    <font>
      <sz val="10"/>
      <name val="Arial"/>
    </font>
    <font>
      <sz val="10"/>
      <name val="Arial"/>
      <family val="2"/>
    </font>
    <font>
      <sz val="8"/>
      <name val="Arial"/>
      <family val="2"/>
    </font>
    <font>
      <sz val="10"/>
      <color indexed="12"/>
      <name val="Arial"/>
      <family val="2"/>
    </font>
    <font>
      <b/>
      <sz val="12"/>
      <name val="Arial"/>
      <family val="2"/>
    </font>
    <font>
      <b/>
      <sz val="11"/>
      <color indexed="8"/>
      <name val="Arial"/>
      <family val="2"/>
    </font>
    <font>
      <sz val="11"/>
      <color indexed="8"/>
      <name val="Arial"/>
      <family val="2"/>
    </font>
    <font>
      <b/>
      <sz val="11"/>
      <name val="Arial"/>
      <family val="2"/>
    </font>
    <font>
      <b/>
      <sz val="16"/>
      <name val="Arial"/>
      <family val="2"/>
    </font>
    <font>
      <sz val="11"/>
      <name val="Arial"/>
      <family val="2"/>
    </font>
    <font>
      <sz val="11"/>
      <color indexed="12"/>
      <name val="Arial"/>
      <family val="2"/>
    </font>
    <font>
      <b/>
      <sz val="16"/>
      <color indexed="8"/>
      <name val="Arial"/>
      <family val="2"/>
    </font>
    <font>
      <b/>
      <sz val="10"/>
      <name val="Arial"/>
      <family val="2"/>
    </font>
    <font>
      <sz val="11"/>
      <color theme="0"/>
      <name val="Arial"/>
      <family val="2"/>
    </font>
    <font>
      <sz val="11"/>
      <color rgb="FF002060"/>
      <name val="Arial"/>
      <family val="2"/>
    </font>
    <font>
      <sz val="11"/>
      <color theme="1"/>
      <name val="Arial"/>
      <family val="2"/>
    </font>
    <font>
      <b/>
      <sz val="14"/>
      <color rgb="FFFF0000"/>
      <name val="Arial"/>
      <family val="2"/>
    </font>
    <font>
      <sz val="10"/>
      <color rgb="FF00B050"/>
      <name val="Arial"/>
      <family val="2"/>
    </font>
    <font>
      <u/>
      <sz val="10"/>
      <color theme="10"/>
      <name val="Arial"/>
      <family val="2"/>
    </font>
    <font>
      <sz val="11"/>
      <color rgb="FFFF0000"/>
      <name val="Arial"/>
      <family val="2"/>
    </font>
    <font>
      <sz val="10"/>
      <color rgb="FF00B050"/>
      <name val="Arial"/>
      <family val="2"/>
    </font>
    <font>
      <sz val="10"/>
      <color rgb="FF00B050"/>
      <name val="Arial"/>
      <family val="2"/>
    </font>
    <font>
      <sz val="10"/>
      <color rgb="FF0070C0"/>
      <name val="Arial"/>
      <family val="2"/>
    </font>
    <font>
      <vertAlign val="superscript"/>
      <sz val="11"/>
      <name val="Arial"/>
      <family val="2"/>
    </font>
    <font>
      <b/>
      <sz val="10"/>
      <color rgb="FFFF0000"/>
      <name val="Arial"/>
      <family val="2"/>
    </font>
    <font>
      <sz val="12"/>
      <color theme="4"/>
      <name val="Arial"/>
      <family val="2"/>
    </font>
    <font>
      <sz val="11"/>
      <color theme="4"/>
      <name val="Arial"/>
      <family val="2"/>
    </font>
    <font>
      <sz val="14"/>
      <color theme="4"/>
      <name val="Arial"/>
      <family val="2"/>
    </font>
    <font>
      <sz val="10"/>
      <name val="Arial"/>
      <family val="2"/>
    </font>
    <font>
      <sz val="11"/>
      <color rgb="FF9C0006"/>
      <name val="Calibri"/>
      <family val="2"/>
      <scheme val="minor"/>
    </font>
    <font>
      <sz val="12"/>
      <name val="Arial"/>
      <family val="2"/>
    </font>
    <font>
      <sz val="16"/>
      <name val="Arial"/>
      <family val="2"/>
    </font>
    <font>
      <sz val="12"/>
      <color indexed="8"/>
      <name val="Arial"/>
      <family val="2"/>
    </font>
    <font>
      <vertAlign val="superscript"/>
      <sz val="11"/>
      <color theme="1"/>
      <name val="Arial"/>
      <family val="2"/>
    </font>
  </fonts>
  <fills count="11">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FFCC"/>
        <bgColor indexed="64"/>
      </patternFill>
    </fill>
    <fill>
      <patternFill patternType="solid">
        <fgColor theme="6"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C7CE"/>
      </patternFill>
    </fill>
  </fills>
  <borders count="38">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s>
  <cellStyleXfs count="5">
    <xf numFmtId="0" fontId="0" fillId="0" borderId="0"/>
    <xf numFmtId="44" fontId="1" fillId="0" borderId="0" applyFont="0" applyFill="0" applyBorder="0" applyAlignment="0" applyProtection="0"/>
    <xf numFmtId="0" fontId="18" fillId="0" borderId="0" applyNumberFormat="0" applyFill="0" applyBorder="0" applyAlignment="0" applyProtection="0"/>
    <xf numFmtId="9" fontId="28" fillId="0" borderId="0" applyFont="0" applyFill="0" applyBorder="0" applyAlignment="0" applyProtection="0"/>
    <xf numFmtId="0" fontId="29" fillId="10" borderId="0" applyNumberFormat="0" applyBorder="0" applyAlignment="0" applyProtection="0"/>
  </cellStyleXfs>
  <cellXfs count="199">
    <xf numFmtId="0" fontId="0" fillId="0" borderId="0" xfId="0"/>
    <xf numFmtId="10" fontId="3" fillId="0" borderId="0" xfId="0" applyNumberFormat="1" applyFont="1"/>
    <xf numFmtId="7" fontId="0" fillId="0" borderId="0" xfId="0" applyNumberFormat="1"/>
    <xf numFmtId="7" fontId="3" fillId="0" borderId="0" xfId="0" applyNumberFormat="1" applyFont="1"/>
    <xf numFmtId="0" fontId="1" fillId="0" borderId="0" xfId="0" applyFont="1"/>
    <xf numFmtId="0" fontId="9" fillId="0" borderId="0" xfId="0" applyFont="1" applyProtection="1"/>
    <xf numFmtId="10" fontId="10" fillId="0" borderId="0" xfId="0" applyNumberFormat="1" applyFont="1" applyAlignment="1" applyProtection="1">
      <alignment horizontal="center"/>
    </xf>
    <xf numFmtId="0" fontId="9" fillId="0" borderId="0" xfId="0" applyFont="1" applyAlignment="1" applyProtection="1">
      <alignment horizontal="center"/>
    </xf>
    <xf numFmtId="0" fontId="9" fillId="3" borderId="0" xfId="0" applyFont="1" applyFill="1" applyAlignment="1" applyProtection="1">
      <alignment horizontal="center"/>
    </xf>
    <xf numFmtId="166" fontId="9" fillId="0" borderId="0" xfId="1" applyNumberFormat="1" applyFont="1" applyAlignment="1" applyProtection="1">
      <alignment horizontal="center"/>
    </xf>
    <xf numFmtId="7" fontId="9" fillId="0" borderId="0" xfId="0" applyNumberFormat="1" applyFont="1" applyProtection="1"/>
    <xf numFmtId="0" fontId="17" fillId="0" borderId="0" xfId="0" applyFont="1"/>
    <xf numFmtId="164" fontId="17" fillId="0" borderId="0" xfId="0" applyNumberFormat="1" applyFont="1"/>
    <xf numFmtId="0" fontId="18" fillId="0" borderId="0" xfId="2"/>
    <xf numFmtId="7" fontId="9" fillId="3" borderId="0" xfId="0" applyNumberFormat="1" applyFont="1" applyFill="1" applyAlignment="1" applyProtection="1">
      <alignment horizontal="center"/>
    </xf>
    <xf numFmtId="166" fontId="9" fillId="3" borderId="0" xfId="1" applyNumberFormat="1" applyFont="1" applyFill="1" applyAlignment="1" applyProtection="1">
      <alignment horizontal="center"/>
    </xf>
    <xf numFmtId="0" fontId="21" fillId="0" borderId="0" xfId="0" applyFont="1"/>
    <xf numFmtId="164" fontId="21" fillId="0" borderId="0" xfId="0" applyNumberFormat="1" applyFont="1"/>
    <xf numFmtId="0" fontId="22" fillId="3" borderId="0" xfId="0" applyFont="1" applyFill="1"/>
    <xf numFmtId="166" fontId="20" fillId="0" borderId="0" xfId="0" applyNumberFormat="1" applyFont="1"/>
    <xf numFmtId="166" fontId="17" fillId="0" borderId="0" xfId="0" applyNumberFormat="1" applyFont="1"/>
    <xf numFmtId="0" fontId="9" fillId="3" borderId="0" xfId="0" applyFont="1" applyFill="1" applyProtection="1"/>
    <xf numFmtId="0" fontId="25" fillId="8" borderId="22" xfId="0" applyFont="1" applyFill="1" applyBorder="1" applyAlignment="1" applyProtection="1">
      <alignment horizontal="center"/>
      <protection locked="0"/>
    </xf>
    <xf numFmtId="10" fontId="26" fillId="8" borderId="22" xfId="0" applyNumberFormat="1" applyFont="1" applyFill="1" applyBorder="1" applyAlignment="1" applyProtection="1">
      <alignment horizontal="center"/>
      <protection locked="0"/>
    </xf>
    <xf numFmtId="170" fontId="25" fillId="8" borderId="22" xfId="0" applyNumberFormat="1" applyFont="1" applyFill="1" applyBorder="1" applyAlignment="1" applyProtection="1">
      <alignment horizontal="center"/>
      <protection locked="0"/>
    </xf>
    <xf numFmtId="1" fontId="25" fillId="8" borderId="22" xfId="0" applyNumberFormat="1" applyFont="1" applyFill="1" applyBorder="1" applyAlignment="1" applyProtection="1">
      <alignment horizontal="center"/>
      <protection locked="0"/>
    </xf>
    <xf numFmtId="0" fontId="12" fillId="0" borderId="27" xfId="0" applyFont="1" applyBorder="1" applyAlignment="1" applyProtection="1">
      <alignment horizontal="center" vertical="center" wrapText="1"/>
    </xf>
    <xf numFmtId="0" fontId="12" fillId="0" borderId="19" xfId="0" applyFont="1" applyBorder="1" applyProtection="1"/>
    <xf numFmtId="0" fontId="12" fillId="0" borderId="21" xfId="0" applyFont="1" applyBorder="1" applyProtection="1"/>
    <xf numFmtId="171" fontId="1" fillId="0" borderId="16" xfId="0" applyNumberFormat="1" applyFont="1" applyBorder="1" applyProtection="1"/>
    <xf numFmtId="171" fontId="1" fillId="0" borderId="7" xfId="0" applyNumberFormat="1" applyFont="1" applyBorder="1" applyProtection="1"/>
    <xf numFmtId="0" fontId="4" fillId="9" borderId="22" xfId="0" applyFont="1" applyFill="1" applyBorder="1" applyAlignment="1" applyProtection="1">
      <alignment horizontal="center"/>
    </xf>
    <xf numFmtId="1" fontId="26" fillId="8" borderId="22" xfId="0" applyNumberFormat="1" applyFont="1" applyFill="1" applyBorder="1" applyAlignment="1" applyProtection="1">
      <alignment horizontal="center"/>
      <protection locked="0"/>
    </xf>
    <xf numFmtId="0" fontId="1" fillId="0" borderId="1" xfId="0" applyFont="1" applyBorder="1" applyProtection="1"/>
    <xf numFmtId="10" fontId="1" fillId="0" borderId="14" xfId="0" applyNumberFormat="1" applyFont="1" applyBorder="1" applyAlignment="1" applyProtection="1">
      <alignment horizontal="center" vertical="center"/>
    </xf>
    <xf numFmtId="0" fontId="1" fillId="0" borderId="9" xfId="0" applyFont="1" applyBorder="1" applyProtection="1"/>
    <xf numFmtId="7" fontId="1" fillId="0" borderId="16" xfId="0" applyNumberFormat="1" applyFont="1" applyBorder="1" applyProtection="1"/>
    <xf numFmtId="10" fontId="1" fillId="0" borderId="7" xfId="3" applyNumberFormat="1" applyFont="1" applyBorder="1" applyProtection="1"/>
    <xf numFmtId="10" fontId="1" fillId="0" borderId="8" xfId="0" applyNumberFormat="1" applyFont="1" applyBorder="1" applyAlignment="1" applyProtection="1">
      <alignment horizontal="center" vertical="center"/>
    </xf>
    <xf numFmtId="0" fontId="9" fillId="7" borderId="0" xfId="0" applyFont="1" applyFill="1" applyBorder="1" applyProtection="1"/>
    <xf numFmtId="0" fontId="1" fillId="0" borderId="0" xfId="0" applyFont="1" applyFill="1" applyProtection="1"/>
    <xf numFmtId="10" fontId="1" fillId="0" borderId="0" xfId="0" applyNumberFormat="1" applyFont="1" applyFill="1" applyProtection="1"/>
    <xf numFmtId="0" fontId="1" fillId="0" borderId="0" xfId="0" applyFont="1" applyProtection="1"/>
    <xf numFmtId="0" fontId="1" fillId="7" borderId="0" xfId="0" applyFont="1" applyFill="1" applyProtection="1"/>
    <xf numFmtId="0" fontId="9" fillId="9" borderId="22" xfId="0" applyFont="1" applyFill="1" applyBorder="1" applyProtection="1"/>
    <xf numFmtId="0" fontId="9" fillId="7" borderId="0" xfId="0" applyFont="1" applyFill="1" applyProtection="1"/>
    <xf numFmtId="0" fontId="9" fillId="0" borderId="0" xfId="0" applyFont="1" applyFill="1" applyProtection="1"/>
    <xf numFmtId="1" fontId="9" fillId="2" borderId="22" xfId="0" applyNumberFormat="1" applyFont="1" applyFill="1" applyBorder="1" applyAlignment="1" applyProtection="1">
      <alignment horizontal="center"/>
    </xf>
    <xf numFmtId="0" fontId="7" fillId="9" borderId="22" xfId="0" applyFont="1" applyFill="1" applyBorder="1" applyAlignment="1" applyProtection="1">
      <alignment horizontal="center" vertical="center" wrapText="1"/>
    </xf>
    <xf numFmtId="0" fontId="7" fillId="9" borderId="24" xfId="0" applyFont="1" applyFill="1" applyBorder="1" applyAlignment="1" applyProtection="1">
      <alignment horizontal="center"/>
    </xf>
    <xf numFmtId="0" fontId="7" fillId="9" borderId="24" xfId="0" applyFont="1" applyFill="1" applyBorder="1" applyProtection="1"/>
    <xf numFmtId="0" fontId="7" fillId="7" borderId="0" xfId="0" applyFont="1" applyFill="1" applyBorder="1" applyProtection="1"/>
    <xf numFmtId="0" fontId="7" fillId="9" borderId="22" xfId="0" applyFont="1" applyFill="1" applyBorder="1" applyProtection="1"/>
    <xf numFmtId="1" fontId="9" fillId="7" borderId="0" xfId="0" applyNumberFormat="1" applyFont="1" applyFill="1" applyBorder="1" applyAlignment="1" applyProtection="1">
      <alignment horizontal="center"/>
    </xf>
    <xf numFmtId="1" fontId="25" fillId="7" borderId="0" xfId="0" applyNumberFormat="1" applyFont="1" applyFill="1" applyBorder="1" applyAlignment="1" applyProtection="1">
      <alignment horizontal="center"/>
    </xf>
    <xf numFmtId="1" fontId="14" fillId="2" borderId="22" xfId="0" applyNumberFormat="1" applyFont="1" applyFill="1" applyBorder="1" applyAlignment="1" applyProtection="1">
      <alignment horizontal="center"/>
    </xf>
    <xf numFmtId="0" fontId="14" fillId="2" borderId="22" xfId="0" applyFont="1" applyFill="1" applyBorder="1" applyAlignment="1" applyProtection="1">
      <alignment horizontal="center"/>
    </xf>
    <xf numFmtId="0" fontId="9" fillId="2" borderId="22" xfId="0" applyFont="1" applyFill="1" applyBorder="1" applyAlignment="1" applyProtection="1">
      <alignment horizontal="center"/>
    </xf>
    <xf numFmtId="0" fontId="9" fillId="7" borderId="0" xfId="0" applyFont="1" applyFill="1" applyBorder="1" applyAlignment="1" applyProtection="1">
      <alignment horizontal="center"/>
    </xf>
    <xf numFmtId="0" fontId="13" fillId="0" borderId="0" xfId="0" applyFont="1" applyFill="1" applyProtection="1"/>
    <xf numFmtId="0" fontId="4" fillId="0" borderId="22" xfId="0" applyFont="1" applyBorder="1" applyProtection="1"/>
    <xf numFmtId="0" fontId="8" fillId="7" borderId="0" xfId="0" applyFont="1" applyFill="1" applyBorder="1" applyAlignment="1" applyProtection="1">
      <alignment horizontal="center" vertical="center"/>
    </xf>
    <xf numFmtId="10" fontId="9" fillId="4" borderId="10" xfId="0" applyNumberFormat="1" applyFont="1" applyFill="1" applyBorder="1" applyAlignment="1" applyProtection="1">
      <alignment horizontal="center"/>
    </xf>
    <xf numFmtId="0" fontId="9" fillId="4" borderId="11" xfId="0" applyFont="1" applyFill="1" applyBorder="1" applyAlignment="1" applyProtection="1">
      <alignment horizontal="center"/>
    </xf>
    <xf numFmtId="0" fontId="9" fillId="4" borderId="12" xfId="0" applyFont="1" applyFill="1" applyBorder="1" applyAlignment="1" applyProtection="1">
      <alignment horizontal="center"/>
    </xf>
    <xf numFmtId="0" fontId="9" fillId="4" borderId="13" xfId="0" applyFont="1" applyFill="1" applyBorder="1" applyAlignment="1" applyProtection="1">
      <alignment horizontal="center"/>
    </xf>
    <xf numFmtId="1" fontId="7" fillId="7" borderId="0" xfId="0" applyNumberFormat="1" applyFont="1" applyFill="1" applyBorder="1" applyAlignment="1" applyProtection="1">
      <alignment horizontal="center" vertical="center"/>
    </xf>
    <xf numFmtId="0" fontId="4" fillId="7" borderId="0" xfId="0" applyFont="1" applyFill="1" applyBorder="1" applyAlignment="1" applyProtection="1">
      <alignment horizontal="center"/>
    </xf>
    <xf numFmtId="0" fontId="7" fillId="5" borderId="9" xfId="0" applyFont="1" applyFill="1" applyBorder="1" applyProtection="1"/>
    <xf numFmtId="0" fontId="9" fillId="5" borderId="0" xfId="0" applyFont="1" applyFill="1" applyBorder="1" applyProtection="1"/>
    <xf numFmtId="0" fontId="9" fillId="5" borderId="14" xfId="0" applyFont="1" applyFill="1" applyBorder="1" applyProtection="1"/>
    <xf numFmtId="0" fontId="9" fillId="5" borderId="16" xfId="0" applyFont="1" applyFill="1" applyBorder="1" applyProtection="1"/>
    <xf numFmtId="167" fontId="5" fillId="5" borderId="9" xfId="0" quotePrefix="1" applyNumberFormat="1" applyFont="1" applyFill="1" applyBorder="1" applyAlignment="1" applyProtection="1">
      <alignment horizontal="left"/>
    </xf>
    <xf numFmtId="0" fontId="6" fillId="5" borderId="0" xfId="0" applyFont="1" applyFill="1" applyBorder="1" applyProtection="1"/>
    <xf numFmtId="168" fontId="6" fillId="5" borderId="0" xfId="0" applyNumberFormat="1" applyFont="1" applyFill="1" applyBorder="1" applyProtection="1"/>
    <xf numFmtId="169" fontId="6" fillId="5" borderId="14" xfId="0" applyNumberFormat="1" applyFont="1" applyFill="1" applyBorder="1" applyProtection="1"/>
    <xf numFmtId="0" fontId="9" fillId="5" borderId="9" xfId="0" applyFont="1" applyFill="1" applyBorder="1" applyProtection="1"/>
    <xf numFmtId="10" fontId="9" fillId="5" borderId="14" xfId="0" applyNumberFormat="1" applyFont="1" applyFill="1" applyBorder="1" applyProtection="1"/>
    <xf numFmtId="169" fontId="9" fillId="5" borderId="14" xfId="1" applyNumberFormat="1" applyFont="1" applyFill="1" applyBorder="1" applyProtection="1"/>
    <xf numFmtId="0" fontId="6" fillId="5" borderId="16" xfId="0" applyFont="1" applyFill="1" applyBorder="1" applyProtection="1"/>
    <xf numFmtId="0" fontId="6" fillId="7" borderId="0" xfId="0" applyFont="1" applyFill="1" applyBorder="1" applyProtection="1"/>
    <xf numFmtId="167" fontId="6" fillId="5" borderId="9" xfId="0" quotePrefix="1" applyNumberFormat="1" applyFont="1" applyFill="1" applyBorder="1" applyAlignment="1" applyProtection="1">
      <alignment horizontal="left"/>
    </xf>
    <xf numFmtId="167" fontId="5" fillId="5" borderId="17" xfId="0" applyNumberFormat="1" applyFont="1" applyFill="1" applyBorder="1" applyAlignment="1" applyProtection="1">
      <alignment horizontal="left"/>
    </xf>
    <xf numFmtId="0" fontId="6" fillId="5" borderId="15" xfId="0" applyFont="1" applyFill="1" applyBorder="1" applyProtection="1"/>
    <xf numFmtId="169" fontId="6" fillId="5" borderId="8" xfId="0" applyNumberFormat="1" applyFont="1" applyFill="1" applyBorder="1" applyProtection="1"/>
    <xf numFmtId="0" fontId="6" fillId="5" borderId="18" xfId="0" applyFont="1" applyFill="1" applyBorder="1" applyProtection="1"/>
    <xf numFmtId="167" fontId="5" fillId="5" borderId="5" xfId="0" quotePrefix="1" applyNumberFormat="1" applyFont="1" applyFill="1" applyBorder="1" applyAlignment="1" applyProtection="1">
      <alignment horizontal="left"/>
    </xf>
    <xf numFmtId="0" fontId="9" fillId="5" borderId="6" xfId="0" applyFont="1" applyFill="1" applyBorder="1" applyProtection="1"/>
    <xf numFmtId="0" fontId="9" fillId="5" borderId="3" xfId="0" applyFont="1" applyFill="1" applyBorder="1" applyProtection="1"/>
    <xf numFmtId="169" fontId="5" fillId="5" borderId="4" xfId="0" applyNumberFormat="1" applyFont="1" applyFill="1" applyBorder="1" applyProtection="1"/>
    <xf numFmtId="169" fontId="5" fillId="7" borderId="0" xfId="0" applyNumberFormat="1" applyFont="1" applyFill="1" applyBorder="1" applyProtection="1"/>
    <xf numFmtId="167" fontId="6" fillId="5" borderId="16" xfId="0" applyNumberFormat="1" applyFont="1" applyFill="1" applyBorder="1" applyAlignment="1" applyProtection="1">
      <alignment horizontal="left"/>
    </xf>
    <xf numFmtId="167" fontId="6" fillId="7" borderId="0" xfId="0" applyNumberFormat="1" applyFont="1" applyFill="1" applyBorder="1" applyAlignment="1" applyProtection="1">
      <alignment horizontal="left"/>
    </xf>
    <xf numFmtId="167" fontId="5" fillId="5" borderId="9" xfId="0" applyNumberFormat="1" applyFont="1" applyFill="1" applyBorder="1" applyAlignment="1" applyProtection="1">
      <alignment horizontal="left"/>
    </xf>
    <xf numFmtId="168" fontId="6" fillId="5" borderId="15" xfId="0" applyNumberFormat="1" applyFont="1" applyFill="1" applyBorder="1" applyProtection="1"/>
    <xf numFmtId="166" fontId="6" fillId="5" borderId="18" xfId="0" applyNumberFormat="1" applyFont="1" applyFill="1" applyBorder="1" applyProtection="1"/>
    <xf numFmtId="166" fontId="6" fillId="7" borderId="0" xfId="0" applyNumberFormat="1" applyFont="1" applyFill="1" applyBorder="1" applyProtection="1"/>
    <xf numFmtId="0" fontId="6" fillId="5" borderId="6" xfId="0" applyFont="1" applyFill="1" applyBorder="1" applyProtection="1"/>
    <xf numFmtId="169" fontId="9" fillId="5" borderId="3" xfId="0" applyNumberFormat="1" applyFont="1" applyFill="1" applyBorder="1" applyProtection="1"/>
    <xf numFmtId="169" fontId="11" fillId="7" borderId="0" xfId="0" quotePrefix="1" applyNumberFormat="1" applyFont="1" applyFill="1" applyBorder="1" applyAlignment="1" applyProtection="1"/>
    <xf numFmtId="167" fontId="16" fillId="7" borderId="5" xfId="0" quotePrefix="1" applyNumberFormat="1" applyFont="1" applyFill="1" applyBorder="1" applyAlignment="1" applyProtection="1">
      <alignment horizontal="left"/>
    </xf>
    <xf numFmtId="0" fontId="16" fillId="7" borderId="6" xfId="0" applyFont="1" applyFill="1" applyBorder="1" applyProtection="1"/>
    <xf numFmtId="169" fontId="16" fillId="7" borderId="3" xfId="0" applyNumberFormat="1" applyFont="1" applyFill="1" applyBorder="1" applyProtection="1"/>
    <xf numFmtId="0" fontId="1" fillId="7" borderId="0" xfId="0" applyFont="1" applyFill="1" applyBorder="1" applyProtection="1"/>
    <xf numFmtId="0" fontId="9" fillId="0" borderId="0" xfId="0" applyFont="1" applyAlignment="1" applyProtection="1">
      <alignment horizontal="distributed" wrapText="1"/>
    </xf>
    <xf numFmtId="0" fontId="19" fillId="0" borderId="0" xfId="0" applyFont="1" applyFill="1" applyProtection="1"/>
    <xf numFmtId="0" fontId="19" fillId="7" borderId="0" xfId="0" applyFont="1" applyFill="1" applyProtection="1"/>
    <xf numFmtId="0" fontId="1" fillId="7" borderId="0" xfId="0" applyFont="1" applyFill="1" applyBorder="1" applyAlignment="1" applyProtection="1">
      <alignment horizontal="centerContinuous"/>
    </xf>
    <xf numFmtId="0" fontId="9" fillId="7" borderId="28" xfId="0" applyFont="1" applyFill="1" applyBorder="1" applyProtection="1"/>
    <xf numFmtId="7" fontId="10" fillId="7" borderId="0" xfId="1" applyNumberFormat="1" applyFont="1" applyFill="1" applyBorder="1" applyAlignment="1" applyProtection="1">
      <alignment horizontal="center"/>
    </xf>
    <xf numFmtId="165" fontId="9" fillId="7" borderId="0" xfId="0" applyNumberFormat="1" applyFont="1" applyFill="1" applyBorder="1" applyAlignment="1" applyProtection="1">
      <alignment horizontal="center"/>
    </xf>
    <xf numFmtId="2" fontId="10" fillId="7" borderId="0" xfId="0" applyNumberFormat="1" applyFont="1" applyFill="1" applyBorder="1" applyAlignment="1" applyProtection="1">
      <alignment horizontal="center"/>
    </xf>
    <xf numFmtId="1" fontId="1" fillId="7" borderId="0" xfId="0" applyNumberFormat="1" applyFont="1" applyFill="1" applyBorder="1" applyProtection="1"/>
    <xf numFmtId="0" fontId="15" fillId="7" borderId="0" xfId="0" applyFont="1" applyFill="1" applyBorder="1" applyAlignment="1" applyProtection="1">
      <alignment horizontal="center"/>
    </xf>
    <xf numFmtId="10" fontId="15" fillId="7" borderId="0" xfId="0" applyNumberFormat="1" applyFont="1" applyFill="1" applyBorder="1" applyAlignment="1" applyProtection="1">
      <alignment horizontal="center"/>
    </xf>
    <xf numFmtId="0" fontId="10" fillId="7" borderId="0" xfId="0" applyFont="1" applyFill="1" applyBorder="1" applyAlignment="1" applyProtection="1">
      <alignment horizontal="center"/>
    </xf>
    <xf numFmtId="167" fontId="5" fillId="7" borderId="0" xfId="0" applyNumberFormat="1" applyFont="1" applyFill="1" applyBorder="1" applyAlignment="1" applyProtection="1">
      <alignment horizontal="left"/>
    </xf>
    <xf numFmtId="169" fontId="9" fillId="7" borderId="0" xfId="0" applyNumberFormat="1" applyFont="1" applyFill="1" applyBorder="1" applyProtection="1"/>
    <xf numFmtId="167" fontId="6" fillId="7" borderId="0" xfId="0" quotePrefix="1" applyNumberFormat="1" applyFont="1" applyFill="1" applyBorder="1" applyAlignment="1" applyProtection="1">
      <alignment horizontal="left"/>
    </xf>
    <xf numFmtId="1" fontId="25" fillId="8" borderId="23" xfId="0" applyNumberFormat="1" applyFont="1" applyFill="1" applyBorder="1" applyAlignment="1" applyProtection="1">
      <alignment horizontal="center"/>
      <protection locked="0"/>
    </xf>
    <xf numFmtId="0" fontId="7" fillId="0" borderId="22" xfId="0" applyFont="1" applyBorder="1" applyAlignment="1" applyProtection="1">
      <alignment horizontal="center"/>
      <protection hidden="1"/>
    </xf>
    <xf numFmtId="0" fontId="9" fillId="0" borderId="22" xfId="0" applyNumberFormat="1" applyFont="1" applyBorder="1" applyAlignment="1" applyProtection="1">
      <alignment horizontal="center"/>
      <protection hidden="1"/>
    </xf>
    <xf numFmtId="172" fontId="30" fillId="0" borderId="22" xfId="1" applyNumberFormat="1" applyFont="1" applyFill="1" applyBorder="1" applyAlignment="1" applyProtection="1">
      <alignment horizontal="center"/>
      <protection locked="0"/>
    </xf>
    <xf numFmtId="14" fontId="0" fillId="0" borderId="0" xfId="0" applyNumberFormat="1"/>
    <xf numFmtId="0" fontId="3" fillId="0" borderId="0" xfId="0" applyNumberFormat="1" applyFont="1"/>
    <xf numFmtId="166" fontId="0" fillId="0" borderId="0" xfId="0" applyNumberFormat="1"/>
    <xf numFmtId="0" fontId="8" fillId="7" borderId="33" xfId="0" applyFont="1" applyFill="1" applyBorder="1" applyAlignment="1" applyProtection="1">
      <alignment horizontal="center"/>
    </xf>
    <xf numFmtId="0" fontId="8" fillId="7" borderId="28" xfId="0" applyFont="1" applyFill="1" applyBorder="1" applyAlignment="1" applyProtection="1">
      <alignment horizontal="center"/>
    </xf>
    <xf numFmtId="0" fontId="1" fillId="7" borderId="33" xfId="0" applyFont="1" applyFill="1" applyBorder="1" applyProtection="1"/>
    <xf numFmtId="0" fontId="1" fillId="7" borderId="28" xfId="0" applyFont="1" applyFill="1" applyBorder="1" applyProtection="1"/>
    <xf numFmtId="0" fontId="9" fillId="7" borderId="33" xfId="0" applyFont="1" applyFill="1" applyBorder="1" applyProtection="1"/>
    <xf numFmtId="0" fontId="13" fillId="7" borderId="33" xfId="0" applyFont="1" applyFill="1" applyBorder="1" applyProtection="1"/>
    <xf numFmtId="0" fontId="13" fillId="7" borderId="28" xfId="0" applyFont="1" applyFill="1" applyBorder="1" applyProtection="1"/>
    <xf numFmtId="167" fontId="9" fillId="7" borderId="33" xfId="0" applyNumberFormat="1" applyFont="1" applyFill="1" applyBorder="1" applyProtection="1"/>
    <xf numFmtId="167" fontId="9" fillId="7" borderId="28" xfId="0" applyNumberFormat="1" applyFont="1" applyFill="1" applyBorder="1" applyProtection="1"/>
    <xf numFmtId="0" fontId="9" fillId="7" borderId="26" xfId="0" applyFont="1" applyFill="1" applyBorder="1" applyProtection="1"/>
    <xf numFmtId="0" fontId="9" fillId="7" borderId="15" xfId="0" applyFont="1" applyFill="1" applyBorder="1" applyProtection="1"/>
    <xf numFmtId="0" fontId="9" fillId="7" borderId="25" xfId="0" applyFont="1" applyFill="1" applyBorder="1" applyProtection="1"/>
    <xf numFmtId="173" fontId="25" fillId="8" borderId="22" xfId="1" applyNumberFormat="1" applyFont="1" applyFill="1" applyBorder="1" applyAlignment="1" applyProtection="1">
      <alignment horizontal="center"/>
      <protection locked="0"/>
    </xf>
    <xf numFmtId="0" fontId="8" fillId="7" borderId="0" xfId="0" applyFont="1" applyFill="1" applyBorder="1" applyAlignment="1" applyProtection="1">
      <alignment horizontal="center"/>
    </xf>
    <xf numFmtId="170" fontId="6" fillId="5" borderId="14" xfId="0" applyNumberFormat="1" applyFont="1" applyFill="1" applyBorder="1" applyProtection="1"/>
    <xf numFmtId="168" fontId="11" fillId="4" borderId="7" xfId="0" applyNumberFormat="1" applyFont="1" applyFill="1" applyBorder="1" applyAlignment="1" applyProtection="1">
      <alignment horizontal="center" shrinkToFit="1"/>
    </xf>
    <xf numFmtId="168" fontId="11" fillId="4" borderId="21" xfId="0" applyNumberFormat="1" applyFont="1" applyFill="1" applyBorder="1" applyAlignment="1" applyProtection="1">
      <alignment horizontal="center" shrinkToFit="1"/>
    </xf>
    <xf numFmtId="167" fontId="11" fillId="4" borderId="19" xfId="0" quotePrefix="1" applyNumberFormat="1" applyFont="1" applyFill="1" applyBorder="1" applyAlignment="1" applyProtection="1"/>
    <xf numFmtId="167" fontId="11" fillId="4" borderId="20" xfId="0" quotePrefix="1" applyNumberFormat="1" applyFont="1" applyFill="1" applyBorder="1" applyAlignment="1" applyProtection="1"/>
    <xf numFmtId="167" fontId="11" fillId="4" borderId="9" xfId="0" quotePrefix="1" applyNumberFormat="1" applyFont="1" applyFill="1" applyBorder="1" applyAlignment="1" applyProtection="1"/>
    <xf numFmtId="167" fontId="11" fillId="4" borderId="0" xfId="0" quotePrefix="1" applyNumberFormat="1" applyFont="1" applyFill="1" applyBorder="1" applyAlignment="1" applyProtection="1"/>
    <xf numFmtId="168" fontId="11" fillId="4" borderId="16" xfId="0" applyNumberFormat="1" applyFont="1" applyFill="1" applyBorder="1" applyAlignment="1" applyProtection="1">
      <alignment horizontal="center" shrinkToFit="1"/>
    </xf>
    <xf numFmtId="167" fontId="32" fillId="4" borderId="9" xfId="0" quotePrefix="1" applyNumberFormat="1" applyFont="1" applyFill="1" applyBorder="1" applyAlignment="1" applyProtection="1"/>
    <xf numFmtId="167" fontId="11" fillId="4" borderId="1" xfId="0" quotePrefix="1" applyNumberFormat="1" applyFont="1" applyFill="1" applyBorder="1" applyAlignment="1" applyProtection="1"/>
    <xf numFmtId="167" fontId="11" fillId="4" borderId="2" xfId="0" quotePrefix="1" applyNumberFormat="1" applyFont="1" applyFill="1" applyBorder="1" applyAlignment="1" applyProtection="1"/>
    <xf numFmtId="169" fontId="11" fillId="4" borderId="8" xfId="0" quotePrefix="1" applyNumberFormat="1" applyFont="1" applyFill="1" applyBorder="1" applyAlignment="1" applyProtection="1">
      <alignment vertical="center"/>
    </xf>
    <xf numFmtId="167" fontId="32" fillId="4" borderId="35" xfId="0" quotePrefix="1" applyNumberFormat="1" applyFont="1" applyFill="1" applyBorder="1" applyAlignment="1" applyProtection="1"/>
    <xf numFmtId="167" fontId="11" fillId="4" borderId="36" xfId="0" quotePrefix="1" applyNumberFormat="1" applyFont="1" applyFill="1" applyBorder="1" applyAlignment="1" applyProtection="1"/>
    <xf numFmtId="168" fontId="11" fillId="4" borderId="37" xfId="0" applyNumberFormat="1" applyFont="1" applyFill="1" applyBorder="1" applyAlignment="1" applyProtection="1">
      <alignment horizontal="center" shrinkToFit="1"/>
    </xf>
    <xf numFmtId="14" fontId="9" fillId="0" borderId="0" xfId="0" applyNumberFormat="1" applyFont="1" applyProtection="1"/>
    <xf numFmtId="0" fontId="8" fillId="7" borderId="0" xfId="0" applyFont="1" applyFill="1" applyBorder="1" applyAlignment="1" applyProtection="1">
      <alignment horizontal="left"/>
    </xf>
    <xf numFmtId="0" fontId="7" fillId="9" borderId="29" xfId="0" applyFont="1" applyFill="1" applyBorder="1" applyAlignment="1" applyProtection="1">
      <alignment horizontal="center" vertical="center" wrapText="1"/>
    </xf>
    <xf numFmtId="0" fontId="7" fillId="9" borderId="22" xfId="0" applyFont="1" applyFill="1" applyBorder="1" applyAlignment="1" applyProtection="1">
      <alignment horizontal="center"/>
    </xf>
    <xf numFmtId="0" fontId="7" fillId="7" borderId="0" xfId="0" quotePrefix="1" applyFont="1" applyFill="1" applyBorder="1" applyProtection="1"/>
    <xf numFmtId="0" fontId="15" fillId="7" borderId="0" xfId="0" applyFont="1" applyFill="1" applyBorder="1" applyAlignment="1" applyProtection="1">
      <alignment horizontal="justify" wrapText="1"/>
    </xf>
    <xf numFmtId="0" fontId="4" fillId="5" borderId="5" xfId="0" applyFont="1" applyFill="1" applyBorder="1" applyAlignment="1" applyProtection="1">
      <alignment horizontal="center"/>
    </xf>
    <xf numFmtId="0" fontId="4" fillId="5" borderId="6" xfId="0" applyFont="1" applyFill="1" applyBorder="1" applyAlignment="1" applyProtection="1">
      <alignment horizontal="center"/>
    </xf>
    <xf numFmtId="0" fontId="4" fillId="5" borderId="3" xfId="0" applyFont="1" applyFill="1" applyBorder="1" applyAlignment="1" applyProtection="1">
      <alignment horizontal="center"/>
    </xf>
    <xf numFmtId="0" fontId="12" fillId="4" borderId="19" xfId="0" applyFont="1" applyFill="1" applyBorder="1" applyAlignment="1" applyProtection="1">
      <alignment horizontal="center" vertical="center" wrapText="1"/>
    </xf>
    <xf numFmtId="0" fontId="12" fillId="4" borderId="20" xfId="0" applyFont="1" applyFill="1" applyBorder="1" applyAlignment="1" applyProtection="1">
      <alignment horizontal="center" vertical="center" wrapText="1"/>
    </xf>
    <xf numFmtId="0" fontId="12" fillId="4" borderId="21"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12" fillId="4" borderId="2" xfId="0"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wrapText="1"/>
    </xf>
    <xf numFmtId="169" fontId="11" fillId="4" borderId="27" xfId="0" quotePrefix="1" applyNumberFormat="1" applyFont="1" applyFill="1" applyBorder="1" applyAlignment="1" applyProtection="1">
      <alignment horizontal="right" vertical="center"/>
    </xf>
    <xf numFmtId="169" fontId="11" fillId="4" borderId="14" xfId="0" quotePrefix="1" applyNumberFormat="1" applyFont="1" applyFill="1" applyBorder="1" applyAlignment="1" applyProtection="1">
      <alignment horizontal="right" vertical="center"/>
    </xf>
    <xf numFmtId="169" fontId="11" fillId="4" borderId="34" xfId="0" quotePrefix="1" applyNumberFormat="1" applyFont="1" applyFill="1" applyBorder="1" applyAlignment="1" applyProtection="1">
      <alignment horizontal="right" vertical="center"/>
    </xf>
    <xf numFmtId="0" fontId="8" fillId="6" borderId="5" xfId="0" applyFont="1" applyFill="1" applyBorder="1" applyAlignment="1" applyProtection="1">
      <alignment horizontal="center" vertical="center"/>
    </xf>
    <xf numFmtId="0" fontId="8" fillId="6" borderId="6" xfId="0" applyFont="1" applyFill="1" applyBorder="1" applyAlignment="1" applyProtection="1">
      <alignment horizontal="center" vertical="center"/>
    </xf>
    <xf numFmtId="0" fontId="8" fillId="6" borderId="3" xfId="0" applyFont="1" applyFill="1" applyBorder="1" applyAlignment="1" applyProtection="1">
      <alignment horizontal="center" vertical="center"/>
    </xf>
    <xf numFmtId="7" fontId="7" fillId="9" borderId="26" xfId="1" applyNumberFormat="1" applyFont="1" applyFill="1" applyBorder="1" applyAlignment="1" applyProtection="1">
      <alignment horizontal="left"/>
    </xf>
    <xf numFmtId="7" fontId="7" fillId="9" borderId="25" xfId="1" applyNumberFormat="1" applyFont="1" applyFill="1" applyBorder="1" applyAlignment="1" applyProtection="1">
      <alignment horizontal="left"/>
    </xf>
    <xf numFmtId="0" fontId="8" fillId="7" borderId="32" xfId="0" applyFont="1" applyFill="1" applyBorder="1" applyAlignment="1" applyProtection="1">
      <alignment horizontal="center"/>
    </xf>
    <xf numFmtId="0" fontId="8" fillId="7" borderId="31" xfId="0" applyFont="1" applyFill="1" applyBorder="1" applyAlignment="1" applyProtection="1">
      <alignment horizontal="center"/>
    </xf>
    <xf numFmtId="0" fontId="8" fillId="7" borderId="30" xfId="0" applyFont="1" applyFill="1" applyBorder="1" applyAlignment="1" applyProtection="1">
      <alignment horizontal="center"/>
    </xf>
    <xf numFmtId="0" fontId="8" fillId="7" borderId="33" xfId="0" applyFont="1" applyFill="1" applyBorder="1" applyAlignment="1" applyProtection="1">
      <alignment horizontal="center"/>
    </xf>
    <xf numFmtId="0" fontId="8" fillId="7" borderId="0" xfId="0" applyFont="1" applyFill="1" applyBorder="1" applyAlignment="1" applyProtection="1">
      <alignment horizontal="center"/>
    </xf>
    <xf numFmtId="0" fontId="8" fillId="7" borderId="28" xfId="0" applyFont="1" applyFill="1" applyBorder="1" applyAlignment="1" applyProtection="1">
      <alignment horizontal="center"/>
    </xf>
    <xf numFmtId="0" fontId="12" fillId="7" borderId="0" xfId="0" applyFont="1" applyFill="1" applyBorder="1" applyAlignment="1" applyProtection="1">
      <alignment horizontal="left" vertical="top" wrapText="1"/>
    </xf>
    <xf numFmtId="0" fontId="4" fillId="9" borderId="22" xfId="0" applyFont="1" applyFill="1" applyBorder="1" applyAlignment="1" applyProtection="1">
      <alignment horizontal="right" vertical="center" wrapText="1"/>
    </xf>
    <xf numFmtId="0" fontId="4" fillId="9" borderId="22" xfId="0" applyFont="1" applyFill="1" applyBorder="1" applyAlignment="1" applyProtection="1">
      <alignment horizontal="right"/>
    </xf>
    <xf numFmtId="0" fontId="7" fillId="7" borderId="0" xfId="4" applyFont="1" applyFill="1" applyBorder="1" applyAlignment="1" applyProtection="1">
      <alignment horizontal="left" wrapText="1"/>
    </xf>
    <xf numFmtId="0" fontId="9" fillId="7" borderId="0" xfId="0" applyFont="1" applyFill="1" applyBorder="1" applyAlignment="1" applyProtection="1">
      <alignment horizontal="left" vertical="top" wrapText="1"/>
    </xf>
    <xf numFmtId="0" fontId="12" fillId="7" borderId="22" xfId="0" applyFont="1" applyFill="1" applyBorder="1" applyAlignment="1" applyProtection="1">
      <alignment horizontal="center"/>
    </xf>
    <xf numFmtId="0" fontId="27" fillId="8" borderId="22" xfId="0" applyFont="1" applyFill="1" applyBorder="1" applyAlignment="1" applyProtection="1">
      <alignment horizontal="center"/>
      <protection locked="0"/>
    </xf>
    <xf numFmtId="0" fontId="31" fillId="7" borderId="0" xfId="0" applyFont="1" applyFill="1" applyBorder="1" applyAlignment="1" applyProtection="1">
      <alignment horizontal="center"/>
    </xf>
    <xf numFmtId="0" fontId="4" fillId="9" borderId="22" xfId="0" applyFont="1" applyFill="1" applyBorder="1" applyAlignment="1" applyProtection="1">
      <alignment horizontal="center" vertical="center"/>
    </xf>
    <xf numFmtId="0" fontId="7" fillId="4" borderId="19" xfId="0" applyFont="1" applyFill="1" applyBorder="1" applyAlignment="1" applyProtection="1">
      <alignment horizontal="center" vertical="center"/>
    </xf>
    <xf numFmtId="0" fontId="7" fillId="4" borderId="20" xfId="0" applyFont="1" applyFill="1" applyBorder="1" applyAlignment="1" applyProtection="1">
      <alignment horizontal="center" vertical="center"/>
    </xf>
    <xf numFmtId="0" fontId="7" fillId="4" borderId="21" xfId="0" applyFont="1" applyFill="1" applyBorder="1" applyAlignment="1" applyProtection="1">
      <alignment horizontal="center" vertical="center"/>
    </xf>
    <xf numFmtId="0" fontId="7" fillId="4" borderId="1" xfId="0" applyFont="1" applyFill="1" applyBorder="1" applyAlignment="1" applyProtection="1">
      <alignment horizontal="center" vertical="center"/>
    </xf>
    <xf numFmtId="0" fontId="7" fillId="4" borderId="2" xfId="0" applyFont="1" applyFill="1" applyBorder="1" applyAlignment="1" applyProtection="1">
      <alignment horizontal="center" vertical="center"/>
    </xf>
    <xf numFmtId="0" fontId="7" fillId="4" borderId="7" xfId="0" applyFont="1" applyFill="1" applyBorder="1" applyAlignment="1" applyProtection="1">
      <alignment horizontal="center" vertical="center"/>
    </xf>
  </cellXfs>
  <cellStyles count="5">
    <cellStyle name="Bad" xfId="4" builtinId="27"/>
    <cellStyle name="Currency" xfId="1" builtinId="4"/>
    <cellStyle name="Hyperlink" xfId="2" builtinId="8"/>
    <cellStyle name="Normal" xfId="0" builtinId="0"/>
    <cellStyle name="Percent" xfId="3" builtinId="5"/>
  </cellStyles>
  <dxfs count="18">
    <dxf>
      <font>
        <strike val="0"/>
        <outline val="0"/>
        <shadow val="0"/>
        <u val="none"/>
        <vertAlign val="baseline"/>
        <sz val="10"/>
        <color rgb="FF00B050"/>
        <name val="Arial"/>
        <scheme val="none"/>
      </font>
      <numFmt numFmtId="166" formatCode="&quot;$&quot;#,##0.00"/>
    </dxf>
    <dxf>
      <font>
        <strike val="0"/>
        <outline val="0"/>
        <shadow val="0"/>
        <u val="none"/>
        <vertAlign val="baseline"/>
        <sz val="10"/>
        <color rgb="FF00B050"/>
        <name val="Arial"/>
        <scheme val="none"/>
      </font>
      <numFmt numFmtId="164" formatCode="&quot;$&quot;#,##0.00;[Red]\-&quot;$&quot;#,##0.00"/>
    </dxf>
    <dxf>
      <font>
        <strike val="0"/>
        <outline val="0"/>
        <shadow val="0"/>
        <u val="none"/>
        <vertAlign val="baseline"/>
        <sz val="10"/>
        <color rgb="FF00B050"/>
        <name val="Arial"/>
        <scheme val="none"/>
      </font>
    </dxf>
    <dxf>
      <font>
        <strike val="0"/>
        <outline val="0"/>
        <shadow val="0"/>
        <u val="none"/>
        <vertAlign val="baseline"/>
        <sz val="10"/>
        <color rgb="FF00B050"/>
        <name val="Arial"/>
        <scheme val="none"/>
      </font>
    </dxf>
    <dxf>
      <font>
        <color theme="0"/>
      </font>
      <fill>
        <patternFill>
          <bgColor theme="0"/>
        </patternFill>
      </fill>
      <border>
        <left/>
        <right/>
        <top/>
        <bottom/>
        <vertical/>
        <horizontal/>
      </border>
    </dxf>
    <dxf>
      <font>
        <color theme="0"/>
      </font>
      <fill>
        <patternFill>
          <bgColor theme="0"/>
        </patternFill>
      </fill>
      <border>
        <left/>
        <vertical/>
        <horizontal/>
      </border>
    </dxf>
    <dxf>
      <font>
        <color theme="0"/>
      </font>
      <fill>
        <patternFill>
          <bgColor theme="0"/>
        </patternFill>
      </fill>
      <border>
        <left/>
        <bottom/>
        <vertical/>
        <horizontal/>
      </border>
    </dxf>
    <dxf>
      <font>
        <color theme="0"/>
      </font>
      <fill>
        <patternFill>
          <bgColor theme="0"/>
        </patternFill>
      </fill>
    </dxf>
    <dxf>
      <font>
        <color theme="0"/>
      </font>
      <fill>
        <patternFill>
          <bgColor theme="0"/>
        </patternFill>
      </fill>
      <border>
        <bottom/>
        <vertical/>
        <horizontal/>
      </border>
    </dxf>
    <dxf>
      <font>
        <color theme="0"/>
      </font>
      <fill>
        <patternFill>
          <bgColor theme="0"/>
        </patternFill>
      </fill>
      <border>
        <left/>
        <right/>
        <top/>
        <bottom/>
        <vertical/>
        <horizontal/>
      </border>
    </dxf>
    <dxf>
      <font>
        <color theme="0"/>
      </font>
      <fill>
        <patternFill>
          <bgColor theme="0"/>
        </patternFill>
      </fill>
      <border>
        <left/>
        <vertical/>
        <horizontal/>
      </border>
    </dxf>
    <dxf>
      <font>
        <color theme="0"/>
      </font>
      <fill>
        <patternFill>
          <bgColor theme="0"/>
        </patternFill>
      </fill>
      <border>
        <left/>
        <bottom/>
        <vertical/>
        <horizontal/>
      </border>
    </dxf>
    <dxf>
      <font>
        <color theme="0"/>
      </font>
      <fill>
        <patternFill>
          <bgColor theme="0"/>
        </patternFill>
      </fill>
      <border>
        <left/>
        <right/>
        <vertical/>
        <horizontal/>
      </border>
    </dxf>
    <dxf>
      <font>
        <color theme="0"/>
      </font>
      <fill>
        <patternFill>
          <bgColor theme="0"/>
        </patternFill>
      </fill>
      <border>
        <left/>
        <right/>
        <bottom/>
        <vertical/>
        <horizontal/>
      </border>
    </dxf>
    <dxf>
      <font>
        <color theme="0"/>
      </font>
      <fill>
        <patternFill>
          <bgColor theme="0"/>
        </patternFill>
      </fill>
      <border>
        <left/>
        <bottom/>
        <vertical/>
        <horizontal/>
      </border>
    </dxf>
    <dxf>
      <font>
        <color theme="0"/>
      </font>
      <fill>
        <patternFill>
          <bgColor theme="0"/>
        </patternFill>
      </fill>
      <border>
        <left/>
        <right/>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max" displayName="tablemax" ref="H5:J41" totalsRowShown="0" dataDxfId="3">
  <autoFilter ref="H5:J41"/>
  <tableColumns count="3">
    <tableColumn id="1" name="Année" dataDxfId="2"/>
    <tableColumn id="2" name="Plafond des PD" dataDxfId="1"/>
    <tableColumn id="3" name="Salaire max" dataDxfId="0">
      <calculatedColumnFormula>+tablemax[[#This Row],[Plafond des PD]]/0.015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www.canada.ca/en/revenue-agency/services/tax/registered-plans-administrators/pspa/mp-rrsp-dpsp-tfsa-limits-ymp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L160"/>
  <sheetViews>
    <sheetView tabSelected="1" view="pageBreakPreview" zoomScaleNormal="100" zoomScaleSheetLayoutView="100" workbookViewId="0">
      <selection activeCell="C10" sqref="C10"/>
    </sheetView>
  </sheetViews>
  <sheetFormatPr defaultColWidth="0" defaultRowHeight="12.75" zeroHeight="1" x14ac:dyDescent="0.2"/>
  <cols>
    <col min="1" max="1" width="2.7109375" style="43" customWidth="1"/>
    <col min="2" max="3" width="30.7109375" style="42" customWidth="1"/>
    <col min="4" max="7" width="25.7109375" style="42" customWidth="1"/>
    <col min="8" max="8" width="2.7109375" style="43" customWidth="1"/>
    <col min="9" max="19" width="11.42578125" style="40" hidden="1" customWidth="1"/>
    <col min="20" max="20" width="11.7109375" style="40" hidden="1" customWidth="1"/>
    <col min="21" max="194" width="11.42578125" style="40" hidden="1" customWidth="1"/>
    <col min="195" max="16384" width="11.42578125" style="42" hidden="1"/>
  </cols>
  <sheetData>
    <row r="1" spans="1:20" ht="20.25" x14ac:dyDescent="0.3">
      <c r="A1" s="178" t="s">
        <v>25</v>
      </c>
      <c r="B1" s="179"/>
      <c r="C1" s="179"/>
      <c r="D1" s="179"/>
      <c r="E1" s="179"/>
      <c r="F1" s="179"/>
      <c r="G1" s="179"/>
      <c r="H1" s="180"/>
      <c r="I1" s="40" t="s">
        <v>51</v>
      </c>
      <c r="P1" s="41"/>
    </row>
    <row r="2" spans="1:20" ht="20.25" x14ac:dyDescent="0.3">
      <c r="A2" s="181" t="s">
        <v>45</v>
      </c>
      <c r="B2" s="182"/>
      <c r="C2" s="182"/>
      <c r="D2" s="182"/>
      <c r="E2" s="182"/>
      <c r="F2" s="182"/>
      <c r="G2" s="182"/>
      <c r="H2" s="183"/>
      <c r="I2" s="40" t="s">
        <v>77</v>
      </c>
      <c r="P2" s="41"/>
    </row>
    <row r="3" spans="1:20" ht="18" customHeight="1" thickBot="1" x14ac:dyDescent="0.35">
      <c r="A3" s="126"/>
      <c r="B3" s="191" t="str">
        <f>CONCATENATE("(pour calcul de l'année ",Calculatrice!$A$7,")")</f>
        <v>(pour calcul de l'année 2025)</v>
      </c>
      <c r="C3" s="191"/>
      <c r="D3" s="191"/>
      <c r="E3" s="191"/>
      <c r="F3" s="191"/>
      <c r="G3" s="191"/>
      <c r="H3" s="127"/>
      <c r="P3" s="41"/>
    </row>
    <row r="4" spans="1:20" ht="25.5" x14ac:dyDescent="0.2">
      <c r="A4" s="128"/>
      <c r="B4" s="103"/>
      <c r="C4" s="103"/>
      <c r="D4" s="103"/>
      <c r="E4" s="103"/>
      <c r="F4" s="103"/>
      <c r="G4" s="103"/>
      <c r="H4" s="129"/>
      <c r="N4" s="26" t="s">
        <v>52</v>
      </c>
      <c r="P4" s="27" t="s">
        <v>0</v>
      </c>
      <c r="Q4" s="28" t="s">
        <v>53</v>
      </c>
      <c r="S4" s="27" t="s">
        <v>1</v>
      </c>
      <c r="T4" s="28" t="s">
        <v>58</v>
      </c>
    </row>
    <row r="5" spans="1:20" ht="18" x14ac:dyDescent="0.25">
      <c r="A5" s="128"/>
      <c r="B5" s="31" t="s">
        <v>11</v>
      </c>
      <c r="C5" s="190"/>
      <c r="D5" s="190"/>
      <c r="E5" s="190"/>
      <c r="F5" s="107"/>
      <c r="G5" s="107"/>
      <c r="H5" s="129"/>
      <c r="N5" s="34">
        <v>0</v>
      </c>
      <c r="P5" s="35">
        <v>1</v>
      </c>
      <c r="Q5" s="29" t="s">
        <v>33</v>
      </c>
      <c r="S5" s="35">
        <f>C9-1</f>
        <v>-1</v>
      </c>
      <c r="T5" s="36">
        <f>E12</f>
        <v>0</v>
      </c>
    </row>
    <row r="6" spans="1:20" ht="14.25" x14ac:dyDescent="0.2">
      <c r="A6" s="128"/>
      <c r="B6" s="103"/>
      <c r="C6" s="103"/>
      <c r="D6" s="103"/>
      <c r="E6" s="103"/>
      <c r="F6" s="103"/>
      <c r="G6" s="103"/>
      <c r="H6" s="129"/>
      <c r="I6" s="46"/>
      <c r="J6" s="46"/>
      <c r="N6" s="34">
        <f t="shared" ref="N6:N10" si="0">+N5+0.0025</f>
        <v>2.5000000000000001E-3</v>
      </c>
      <c r="P6" s="35">
        <f>+P5+1</f>
        <v>2</v>
      </c>
      <c r="Q6" s="29" t="s">
        <v>34</v>
      </c>
      <c r="S6" s="35">
        <f>C10</f>
        <v>0</v>
      </c>
      <c r="T6" s="36">
        <f>E13</f>
        <v>0</v>
      </c>
    </row>
    <row r="7" spans="1:20" ht="15.75" thickBot="1" x14ac:dyDescent="0.3">
      <c r="A7" s="130"/>
      <c r="B7" s="103"/>
      <c r="C7" s="158" t="s">
        <v>1</v>
      </c>
      <c r="D7" s="158" t="s">
        <v>0</v>
      </c>
      <c r="E7" s="52" t="s">
        <v>9</v>
      </c>
      <c r="F7" s="39"/>
      <c r="G7" s="39"/>
      <c r="H7" s="108"/>
      <c r="I7" s="46"/>
      <c r="J7" s="46"/>
      <c r="N7" s="34">
        <f t="shared" si="0"/>
        <v>5.0000000000000001E-3</v>
      </c>
      <c r="P7" s="35">
        <f t="shared" ref="P7:P9" si="1">+P6+1</f>
        <v>3</v>
      </c>
      <c r="Q7" s="29" t="s">
        <v>35</v>
      </c>
      <c r="S7" s="33" t="s">
        <v>59</v>
      </c>
      <c r="T7" s="37" t="e">
        <f>FLOOR(POWER(T6/T5,1/(S6-S5))-1,0.0025)</f>
        <v>#DIV/0!</v>
      </c>
    </row>
    <row r="8" spans="1:20" ht="15.75" x14ac:dyDescent="0.25">
      <c r="A8" s="130"/>
      <c r="B8" s="31" t="s">
        <v>47</v>
      </c>
      <c r="C8" s="22"/>
      <c r="D8" s="22"/>
      <c r="E8" s="47">
        <v>1</v>
      </c>
      <c r="F8" s="39" t="s">
        <v>61</v>
      </c>
      <c r="G8" s="39"/>
      <c r="H8" s="108"/>
      <c r="I8" s="46"/>
      <c r="J8" s="46"/>
      <c r="N8" s="34">
        <f t="shared" si="0"/>
        <v>7.4999999999999997E-3</v>
      </c>
      <c r="P8" s="35">
        <f t="shared" si="1"/>
        <v>4</v>
      </c>
      <c r="Q8" s="29" t="s">
        <v>36</v>
      </c>
    </row>
    <row r="9" spans="1:20" ht="15.75" x14ac:dyDescent="0.25">
      <c r="A9" s="130"/>
      <c r="B9" s="31" t="s">
        <v>50</v>
      </c>
      <c r="C9" s="22"/>
      <c r="D9" s="47">
        <v>12</v>
      </c>
      <c r="E9" s="47">
        <v>31</v>
      </c>
      <c r="F9" s="39" t="s">
        <v>62</v>
      </c>
      <c r="G9" s="39"/>
      <c r="H9" s="108"/>
      <c r="I9" s="46"/>
      <c r="J9" s="46"/>
      <c r="N9" s="34">
        <f t="shared" si="0"/>
        <v>0.01</v>
      </c>
      <c r="P9" s="35">
        <f t="shared" si="1"/>
        <v>5</v>
      </c>
      <c r="Q9" s="29" t="s">
        <v>54</v>
      </c>
    </row>
    <row r="10" spans="1:20" ht="15.75" x14ac:dyDescent="0.25">
      <c r="A10" s="130"/>
      <c r="B10" s="31" t="s">
        <v>57</v>
      </c>
      <c r="C10" s="22"/>
      <c r="D10" s="32"/>
      <c r="E10" s="32"/>
      <c r="F10" s="39"/>
      <c r="G10" s="39"/>
      <c r="H10" s="108"/>
      <c r="I10" s="46"/>
      <c r="J10" s="46"/>
      <c r="N10" s="34">
        <f t="shared" si="0"/>
        <v>1.2500000000000001E-2</v>
      </c>
      <c r="P10" s="35">
        <f t="shared" ref="P10:P15" si="2">+P9+1</f>
        <v>6</v>
      </c>
      <c r="Q10" s="29" t="s">
        <v>55</v>
      </c>
    </row>
    <row r="11" spans="1:20" ht="14.25" x14ac:dyDescent="0.2">
      <c r="A11" s="130"/>
      <c r="B11" s="103"/>
      <c r="C11" s="103"/>
      <c r="D11" s="103"/>
      <c r="E11" s="103"/>
      <c r="F11" s="103"/>
      <c r="G11" s="103"/>
      <c r="H11" s="108"/>
      <c r="I11" s="46"/>
      <c r="J11" s="46"/>
      <c r="N11" s="34">
        <f>+N10+0.0025</f>
        <v>1.5000000000000001E-2</v>
      </c>
      <c r="P11" s="35">
        <f t="shared" si="2"/>
        <v>7</v>
      </c>
      <c r="Q11" s="29" t="s">
        <v>56</v>
      </c>
    </row>
    <row r="12" spans="1:20" ht="15.75" x14ac:dyDescent="0.2">
      <c r="A12" s="130"/>
      <c r="B12" s="185" t="s">
        <v>48</v>
      </c>
      <c r="C12" s="185"/>
      <c r="D12" s="185"/>
      <c r="E12" s="138"/>
      <c r="F12" s="39"/>
      <c r="G12" s="39"/>
      <c r="H12" s="108"/>
      <c r="I12" s="46"/>
      <c r="J12" s="46"/>
      <c r="N12" s="34">
        <f>+N11+0.0025</f>
        <v>1.7500000000000002E-2</v>
      </c>
      <c r="P12" s="35">
        <f t="shared" si="2"/>
        <v>8</v>
      </c>
      <c r="Q12" s="29" t="s">
        <v>37</v>
      </c>
    </row>
    <row r="13" spans="1:20" ht="15.75" x14ac:dyDescent="0.25">
      <c r="A13" s="130"/>
      <c r="B13" s="186" t="s">
        <v>60</v>
      </c>
      <c r="C13" s="186"/>
      <c r="D13" s="186"/>
      <c r="E13" s="138"/>
      <c r="F13" s="39"/>
      <c r="G13" s="39"/>
      <c r="H13" s="108"/>
      <c r="I13" s="46"/>
      <c r="J13" s="46"/>
      <c r="N13" s="34">
        <f>+N11+0.25%</f>
        <v>1.7500000000000002E-2</v>
      </c>
      <c r="P13" s="35">
        <f t="shared" si="2"/>
        <v>9</v>
      </c>
      <c r="Q13" s="29" t="s">
        <v>38</v>
      </c>
    </row>
    <row r="14" spans="1:20" ht="14.25" x14ac:dyDescent="0.2">
      <c r="A14" s="130"/>
      <c r="B14" s="109"/>
      <c r="C14" s="110"/>
      <c r="D14" s="111"/>
      <c r="E14" s="111"/>
      <c r="F14" s="111"/>
      <c r="G14" s="111"/>
      <c r="H14" s="108"/>
      <c r="I14" s="46"/>
      <c r="J14" s="46"/>
      <c r="N14" s="34">
        <f>+N13+0.25%</f>
        <v>0.02</v>
      </c>
      <c r="P14" s="35">
        <f t="shared" si="2"/>
        <v>10</v>
      </c>
      <c r="Q14" s="29" t="s">
        <v>39</v>
      </c>
    </row>
    <row r="15" spans="1:20" ht="14.25" x14ac:dyDescent="0.2">
      <c r="A15" s="130"/>
      <c r="B15" s="189" t="s">
        <v>18</v>
      </c>
      <c r="C15" s="189"/>
      <c r="D15" s="23"/>
      <c r="E15" s="111"/>
      <c r="F15" s="111"/>
      <c r="G15" s="111"/>
      <c r="H15" s="108"/>
      <c r="I15" s="46"/>
      <c r="J15" s="46"/>
      <c r="N15" s="34">
        <f>+N12+0.0025</f>
        <v>0.02</v>
      </c>
      <c r="P15" s="35">
        <f t="shared" si="2"/>
        <v>11</v>
      </c>
      <c r="Q15" s="29" t="s">
        <v>40</v>
      </c>
    </row>
    <row r="16" spans="1:20" ht="15" customHeight="1" thickBot="1" x14ac:dyDescent="0.25">
      <c r="A16" s="130"/>
      <c r="B16" s="184" t="s">
        <v>42</v>
      </c>
      <c r="C16" s="184"/>
      <c r="D16" s="184"/>
      <c r="E16" s="184"/>
      <c r="F16" s="184"/>
      <c r="G16" s="184"/>
      <c r="H16" s="108"/>
      <c r="I16" s="46"/>
      <c r="J16" s="46"/>
      <c r="N16" s="34">
        <f t="shared" ref="N16:N23" si="3">+N15+0.0025</f>
        <v>2.2499999999999999E-2</v>
      </c>
      <c r="P16" s="33">
        <f t="shared" ref="P16" si="4">+P15+1</f>
        <v>12</v>
      </c>
      <c r="Q16" s="30" t="s">
        <v>41</v>
      </c>
    </row>
    <row r="17" spans="1:14" ht="15" customHeight="1" x14ac:dyDescent="0.2">
      <c r="A17" s="130"/>
      <c r="B17" s="184" t="s">
        <v>85</v>
      </c>
      <c r="C17" s="184"/>
      <c r="D17" s="184"/>
      <c r="E17" s="184"/>
      <c r="F17" s="184"/>
      <c r="G17" s="184"/>
      <c r="H17" s="108"/>
      <c r="I17" s="46"/>
      <c r="J17" s="46"/>
      <c r="N17" s="34">
        <f t="shared" si="3"/>
        <v>2.4999999999999998E-2</v>
      </c>
    </row>
    <row r="18" spans="1:14" ht="14.25" x14ac:dyDescent="0.2">
      <c r="A18" s="130"/>
      <c r="B18" s="103"/>
      <c r="C18" s="103"/>
      <c r="D18" s="103"/>
      <c r="E18" s="103"/>
      <c r="F18" s="103"/>
      <c r="G18" s="103"/>
      <c r="H18" s="108"/>
      <c r="I18" s="46"/>
      <c r="J18" s="46"/>
      <c r="N18" s="34">
        <f t="shared" si="3"/>
        <v>2.7499999999999997E-2</v>
      </c>
    </row>
    <row r="19" spans="1:14" ht="15.75" customHeight="1" x14ac:dyDescent="0.2">
      <c r="A19" s="130"/>
      <c r="B19" s="192" t="str">
        <f>"Nombre d'années de service créditées selon l'information du dernier relevé de l'Assomption Vie  ("&amp;$C$9&amp;")"</f>
        <v>Nombre d'années de service créditées selon l'information du dernier relevé de l'Assomption Vie  ()</v>
      </c>
      <c r="C19" s="192"/>
      <c r="D19" s="192"/>
      <c r="E19" s="192"/>
      <c r="F19" s="192"/>
      <c r="G19" s="192"/>
      <c r="H19" s="108"/>
      <c r="I19" s="46"/>
      <c r="J19" s="46"/>
      <c r="N19" s="34">
        <f t="shared" si="3"/>
        <v>2.9999999999999995E-2</v>
      </c>
    </row>
    <row r="20" spans="1:14" ht="15.75" customHeight="1" x14ac:dyDescent="0.2">
      <c r="A20" s="130"/>
      <c r="B20" s="192"/>
      <c r="C20" s="192"/>
      <c r="D20" s="192"/>
      <c r="E20" s="192"/>
      <c r="F20" s="192"/>
      <c r="G20" s="192"/>
      <c r="H20" s="108"/>
      <c r="I20" s="46"/>
      <c r="J20" s="46"/>
      <c r="N20" s="34">
        <f t="shared" si="3"/>
        <v>3.2499999999999994E-2</v>
      </c>
    </row>
    <row r="21" spans="1:14" ht="30" x14ac:dyDescent="0.2">
      <c r="A21" s="130"/>
      <c r="B21" s="157" t="s">
        <v>80</v>
      </c>
      <c r="C21" s="48" t="s">
        <v>82</v>
      </c>
      <c r="D21" s="48" t="s">
        <v>81</v>
      </c>
      <c r="E21" s="48" t="s">
        <v>83</v>
      </c>
      <c r="F21" s="48" t="s">
        <v>84</v>
      </c>
      <c r="G21" s="48" t="s">
        <v>68</v>
      </c>
      <c r="H21" s="108"/>
      <c r="I21" s="46"/>
      <c r="J21" s="46"/>
      <c r="N21" s="34">
        <f t="shared" si="3"/>
        <v>3.4999999999999996E-2</v>
      </c>
    </row>
    <row r="22" spans="1:14" ht="15" x14ac:dyDescent="0.2">
      <c r="A22" s="130"/>
      <c r="B22" s="24"/>
      <c r="C22" s="24"/>
      <c r="D22" s="24"/>
      <c r="E22" s="24"/>
      <c r="F22" s="24"/>
      <c r="G22" s="24"/>
      <c r="H22" s="108"/>
      <c r="I22" s="46"/>
      <c r="J22" s="46"/>
      <c r="N22" s="34">
        <f t="shared" si="3"/>
        <v>3.7499999999999999E-2</v>
      </c>
    </row>
    <row r="23" spans="1:14" ht="15.75" thickBot="1" x14ac:dyDescent="0.3">
      <c r="A23" s="130"/>
      <c r="B23" s="39"/>
      <c r="C23" s="108"/>
      <c r="D23" s="49" t="s">
        <v>1</v>
      </c>
      <c r="E23" s="49" t="s">
        <v>0</v>
      </c>
      <c r="F23" s="50" t="s">
        <v>9</v>
      </c>
      <c r="G23" s="51"/>
      <c r="H23" s="108"/>
      <c r="I23" s="46"/>
      <c r="J23" s="46"/>
      <c r="N23" s="38">
        <f t="shared" si="3"/>
        <v>0.04</v>
      </c>
    </row>
    <row r="24" spans="1:14" ht="15.75" x14ac:dyDescent="0.25">
      <c r="A24" s="130"/>
      <c r="B24" s="52" t="s">
        <v>44</v>
      </c>
      <c r="C24" s="44"/>
      <c r="D24" s="119"/>
      <c r="E24" s="22"/>
      <c r="F24" s="47">
        <v>1</v>
      </c>
      <c r="G24" s="53"/>
      <c r="H24" s="108"/>
      <c r="I24" s="46"/>
      <c r="J24" s="46"/>
    </row>
    <row r="25" spans="1:14" ht="15.75" x14ac:dyDescent="0.25">
      <c r="A25" s="130"/>
      <c r="B25" s="176" t="s">
        <v>49</v>
      </c>
      <c r="C25" s="177"/>
      <c r="D25" s="25"/>
      <c r="E25" s="25"/>
      <c r="F25" s="25"/>
      <c r="G25" s="54"/>
      <c r="H25" s="108"/>
      <c r="I25" s="46"/>
      <c r="J25" s="46"/>
    </row>
    <row r="26" spans="1:14" ht="17.25" x14ac:dyDescent="0.25">
      <c r="A26" s="130"/>
      <c r="B26" s="52" t="s">
        <v>43</v>
      </c>
      <c r="C26" s="44"/>
      <c r="D26" s="55">
        <f>IF(AND(E25=12,F25&gt;1),D25+66,D25+65)</f>
        <v>65</v>
      </c>
      <c r="E26" s="56">
        <f>IF(AND(F25=1,E25=12),E25,IF(E25=12,1,IF(F25=1,E25,E25+1)))</f>
        <v>1</v>
      </c>
      <c r="F26" s="57">
        <v>1</v>
      </c>
      <c r="G26" s="58"/>
      <c r="H26" s="108"/>
      <c r="I26" s="59"/>
      <c r="J26" s="59"/>
    </row>
    <row r="27" spans="1:14" ht="14.25" x14ac:dyDescent="0.2">
      <c r="A27" s="131"/>
      <c r="B27" s="103"/>
      <c r="C27" s="103"/>
      <c r="D27" s="103"/>
      <c r="E27" s="112"/>
      <c r="F27" s="103"/>
      <c r="G27" s="103"/>
      <c r="H27" s="132"/>
      <c r="I27" s="59"/>
      <c r="J27" s="59"/>
    </row>
    <row r="28" spans="1:14" ht="15.75" x14ac:dyDescent="0.25">
      <c r="A28" s="131"/>
      <c r="B28" s="60" t="s">
        <v>12</v>
      </c>
      <c r="C28" s="22"/>
      <c r="D28" s="22"/>
      <c r="E28" s="103"/>
      <c r="F28" s="39"/>
      <c r="G28" s="39"/>
      <c r="H28" s="132"/>
      <c r="I28" s="59"/>
      <c r="J28" s="59"/>
      <c r="N28" s="40">
        <f>73572.31*(1-0.3%*60)</f>
        <v>60329.294200000004</v>
      </c>
    </row>
    <row r="29" spans="1:14" ht="18" customHeight="1" x14ac:dyDescent="0.2">
      <c r="A29" s="131"/>
      <c r="B29" s="39"/>
      <c r="C29" s="113" t="s">
        <v>15</v>
      </c>
      <c r="D29" s="114" t="s">
        <v>16</v>
      </c>
      <c r="E29" s="115"/>
      <c r="F29" s="39"/>
      <c r="G29" s="39"/>
      <c r="H29" s="132"/>
      <c r="I29" s="59"/>
      <c r="J29" s="59"/>
    </row>
    <row r="30" spans="1:14" ht="15" x14ac:dyDescent="0.25">
      <c r="A30" s="131"/>
      <c r="B30" s="187" t="str">
        <f>IF(OR(C28-C10&lt;4,$I$2="Show"),"Attention","")</f>
        <v>Attention</v>
      </c>
      <c r="C30" s="187"/>
      <c r="D30" s="187"/>
      <c r="E30" s="187"/>
      <c r="F30" s="187"/>
      <c r="G30" s="187"/>
      <c r="H30" s="132"/>
      <c r="I30" s="59"/>
      <c r="J30" s="59"/>
    </row>
    <row r="31" spans="1:14" ht="32.25" customHeight="1" x14ac:dyDescent="0.2">
      <c r="A31" s="131"/>
      <c r="B31" s="188" t="str">
        <f>IF(B30="","","L'estimation basée pour le salaire final pourrait être différente de la réalité étant donné les hypothèses du salaire moyen des trois dernières années qui sont utilisées pour approximer le résultat.")</f>
        <v>L'estimation basée pour le salaire final pourrait être différente de la réalité étant donné les hypothèses du salaire moyen des trois dernières années qui sont utilisées pour approximer le résultat.</v>
      </c>
      <c r="C31" s="188"/>
      <c r="D31" s="188"/>
      <c r="E31" s="188"/>
      <c r="F31" s="188"/>
      <c r="G31" s="188"/>
      <c r="H31" s="132"/>
      <c r="I31" s="59"/>
      <c r="J31" s="59"/>
    </row>
    <row r="32" spans="1:14" ht="14.25" customHeight="1" thickBot="1" x14ac:dyDescent="0.25">
      <c r="A32" s="131"/>
      <c r="B32" s="103"/>
      <c r="C32" s="103"/>
      <c r="D32" s="103"/>
      <c r="E32" s="103"/>
      <c r="F32" s="103"/>
      <c r="G32" s="103"/>
      <c r="H32" s="132"/>
      <c r="I32" s="59"/>
      <c r="J32" s="59"/>
    </row>
    <row r="33" spans="1:10" ht="15" customHeight="1" thickBot="1" x14ac:dyDescent="0.25">
      <c r="A33" s="131"/>
      <c r="B33" s="173" t="str">
        <f>IF(C5="","",C5)</f>
        <v/>
      </c>
      <c r="C33" s="174"/>
      <c r="D33" s="174"/>
      <c r="E33" s="174"/>
      <c r="F33" s="175"/>
      <c r="G33" s="61"/>
      <c r="H33" s="132"/>
      <c r="I33" s="59"/>
      <c r="J33" s="59"/>
    </row>
    <row r="34" spans="1:10" ht="24.75" customHeight="1" thickBot="1" x14ac:dyDescent="0.25">
      <c r="A34" s="131"/>
      <c r="B34" s="164" t="s">
        <v>20</v>
      </c>
      <c r="C34" s="165"/>
      <c r="D34" s="166"/>
      <c r="E34" s="62" t="s">
        <v>13</v>
      </c>
      <c r="F34" s="63" t="s">
        <v>14</v>
      </c>
      <c r="G34" s="58"/>
      <c r="H34" s="132"/>
      <c r="I34" s="59"/>
      <c r="J34" s="59"/>
    </row>
    <row r="35" spans="1:10" ht="15" thickBot="1" x14ac:dyDescent="0.25">
      <c r="A35" s="131"/>
      <c r="B35" s="167"/>
      <c r="C35" s="168"/>
      <c r="D35" s="169"/>
      <c r="E35" s="64" t="e">
        <f>MAX(0,IF(MAX(ROUND((DATE(D24,E24,1)-DATE(C28,D28,1))/365.25*12,0),0)&gt;120,"Vous pouvez seulement vous retirer 10 ans avant votre date normale de retraite.",ROUND((DATE(D24,E24,1)-DATE(C28,D28,1))/365.25*12,0)))</f>
        <v>#NUM!</v>
      </c>
      <c r="F35" s="65" t="e">
        <f>MAX(0,IF(MAX(ROUND((DATE(D26,E26,1)-DATE(C28,D28,1))/365.25*12,0),0)&gt;120,"Vous pouvez seulement vous retirer 10 ans avant votre date normale de retraite.",ROUND((DATE(D26,E26,1)-DATE(C28,D28,1))/365.25*12,0)))</f>
        <v>#NUM!</v>
      </c>
      <c r="G35" s="58"/>
      <c r="H35" s="132"/>
      <c r="I35" s="59"/>
      <c r="J35" s="59"/>
    </row>
    <row r="36" spans="1:10" ht="21" thickBot="1" x14ac:dyDescent="0.35">
      <c r="A36" s="131"/>
      <c r="B36" s="156"/>
      <c r="C36" s="139"/>
      <c r="D36" s="139"/>
      <c r="E36" s="139"/>
      <c r="F36" s="139"/>
      <c r="G36" s="139"/>
      <c r="H36" s="132"/>
      <c r="I36" s="46"/>
      <c r="J36" s="46"/>
    </row>
    <row r="37" spans="1:10" ht="15" x14ac:dyDescent="0.2">
      <c r="A37" s="130"/>
      <c r="B37" s="193" t="e">
        <f>CONCATENATE("Estimation de la prestation en date du : 1 ",VLOOKUP($D$28,$P$5:$Q$16,2,0)&amp;" "&amp;$C$28)</f>
        <v>#N/A</v>
      </c>
      <c r="C37" s="194"/>
      <c r="D37" s="194"/>
      <c r="E37" s="194"/>
      <c r="F37" s="195"/>
      <c r="G37" s="66"/>
      <c r="H37" s="108"/>
      <c r="I37" s="46"/>
      <c r="J37" s="46"/>
    </row>
    <row r="38" spans="1:10" ht="15.75" thickBot="1" x14ac:dyDescent="0.25">
      <c r="A38" s="130"/>
      <c r="B38" s="196"/>
      <c r="C38" s="197"/>
      <c r="D38" s="197"/>
      <c r="E38" s="197"/>
      <c r="F38" s="198"/>
      <c r="G38" s="66"/>
      <c r="H38" s="108"/>
      <c r="I38" s="46"/>
      <c r="J38" s="46"/>
    </row>
    <row r="39" spans="1:10" ht="16.5" thickBot="1" x14ac:dyDescent="0.3">
      <c r="A39" s="130"/>
      <c r="B39" s="161" t="s">
        <v>78</v>
      </c>
      <c r="C39" s="162"/>
      <c r="D39" s="162"/>
      <c r="E39" s="162"/>
      <c r="F39" s="163"/>
      <c r="G39" s="67"/>
      <c r="H39" s="108"/>
      <c r="I39" s="46"/>
      <c r="J39" s="46"/>
    </row>
    <row r="40" spans="1:10" ht="5.0999999999999996" customHeight="1" x14ac:dyDescent="0.25">
      <c r="A40" s="130"/>
      <c r="B40" s="68"/>
      <c r="C40" s="69"/>
      <c r="D40" s="69"/>
      <c r="E40" s="70"/>
      <c r="F40" s="71"/>
      <c r="G40" s="39"/>
      <c r="H40" s="108"/>
      <c r="I40" s="46"/>
      <c r="J40" s="46"/>
    </row>
    <row r="41" spans="1:10" ht="15" x14ac:dyDescent="0.25">
      <c r="A41" s="130"/>
      <c r="B41" s="72" t="str">
        <f>"Prestation annuelle le "&amp;E72&amp;" avant réduction"</f>
        <v>Prestation annuelle le  avant réduction</v>
      </c>
      <c r="C41" s="73"/>
      <c r="D41" s="74"/>
      <c r="E41" s="75" t="e">
        <f>E89</f>
        <v>#N/A</v>
      </c>
      <c r="F41" s="71"/>
      <c r="G41" s="39"/>
      <c r="H41" s="108"/>
      <c r="I41" s="46"/>
      <c r="J41" s="46"/>
    </row>
    <row r="42" spans="1:10" ht="14.25" x14ac:dyDescent="0.2">
      <c r="A42" s="130"/>
      <c r="B42" s="76" t="s">
        <v>23</v>
      </c>
      <c r="C42" s="69"/>
      <c r="D42" s="69"/>
      <c r="E42" s="77" t="e">
        <f>E35*0.3%</f>
        <v>#NUM!</v>
      </c>
      <c r="F42" s="71"/>
      <c r="G42" s="39"/>
      <c r="H42" s="108"/>
      <c r="I42" s="46"/>
      <c r="J42" s="46"/>
    </row>
    <row r="43" spans="1:10" ht="15" x14ac:dyDescent="0.25">
      <c r="A43" s="130"/>
      <c r="B43" s="72" t="s">
        <v>24</v>
      </c>
      <c r="C43" s="69"/>
      <c r="D43" s="69"/>
      <c r="E43" s="78" t="e">
        <f>E41*E42</f>
        <v>#N/A</v>
      </c>
      <c r="F43" s="71"/>
      <c r="G43" s="39"/>
      <c r="H43" s="108"/>
      <c r="I43" s="46"/>
      <c r="J43" s="46"/>
    </row>
    <row r="44" spans="1:10" ht="5.0999999999999996" customHeight="1" x14ac:dyDescent="0.2">
      <c r="A44" s="130"/>
      <c r="B44" s="76"/>
      <c r="C44" s="69"/>
      <c r="D44" s="69"/>
      <c r="E44" s="70"/>
      <c r="F44" s="79"/>
      <c r="G44" s="80"/>
      <c r="H44" s="108"/>
      <c r="I44" s="46"/>
      <c r="J44" s="46"/>
    </row>
    <row r="45" spans="1:10" ht="14.25" x14ac:dyDescent="0.2">
      <c r="A45" s="130"/>
      <c r="B45" s="81" t="s">
        <v>19</v>
      </c>
      <c r="C45" s="73"/>
      <c r="D45" s="73"/>
      <c r="E45" s="140">
        <f>B22+C22+E22+D22</f>
        <v>0</v>
      </c>
      <c r="F45" s="79"/>
      <c r="G45" s="80"/>
      <c r="H45" s="108"/>
      <c r="I45" s="46"/>
      <c r="J45" s="46"/>
    </row>
    <row r="46" spans="1:10" ht="15.75" thickBot="1" x14ac:dyDescent="0.3">
      <c r="A46" s="130"/>
      <c r="B46" s="82" t="s">
        <v>17</v>
      </c>
      <c r="C46" s="83"/>
      <c r="D46" s="83"/>
      <c r="E46" s="84" t="e">
        <f>MIN(E87,86111)</f>
        <v>#N/A</v>
      </c>
      <c r="F46" s="85"/>
      <c r="G46" s="80"/>
      <c r="H46" s="108"/>
      <c r="I46" s="46"/>
      <c r="J46" s="46"/>
    </row>
    <row r="47" spans="1:10" ht="15.75" thickBot="1" x14ac:dyDescent="0.3">
      <c r="A47" s="130"/>
      <c r="B47" s="86" t="s">
        <v>26</v>
      </c>
      <c r="C47" s="87"/>
      <c r="D47" s="87"/>
      <c r="E47" s="88"/>
      <c r="F47" s="89" t="e">
        <f>+E41-E43</f>
        <v>#N/A</v>
      </c>
      <c r="G47" s="90"/>
      <c r="H47" s="108"/>
      <c r="I47" s="46"/>
      <c r="J47" s="46"/>
    </row>
    <row r="48" spans="1:10" ht="15.75" thickBot="1" x14ac:dyDescent="0.3">
      <c r="A48" s="130"/>
      <c r="B48" s="116"/>
      <c r="C48" s="80"/>
      <c r="D48" s="80"/>
      <c r="E48" s="117"/>
      <c r="F48" s="39"/>
      <c r="G48" s="39"/>
      <c r="H48" s="108"/>
      <c r="I48" s="46"/>
      <c r="J48" s="46"/>
    </row>
    <row r="49" spans="1:10" ht="16.5" thickBot="1" x14ac:dyDescent="0.3">
      <c r="A49" s="130"/>
      <c r="B49" s="161" t="s">
        <v>79</v>
      </c>
      <c r="C49" s="162"/>
      <c r="D49" s="162"/>
      <c r="E49" s="162"/>
      <c r="F49" s="163"/>
      <c r="G49" s="67"/>
      <c r="H49" s="108"/>
      <c r="I49" s="46"/>
      <c r="J49" s="46"/>
    </row>
    <row r="50" spans="1:10" ht="5.0999999999999996" customHeight="1" x14ac:dyDescent="0.2">
      <c r="A50" s="130"/>
      <c r="B50" s="76"/>
      <c r="C50" s="69"/>
      <c r="D50" s="69"/>
      <c r="E50" s="70"/>
      <c r="F50" s="91"/>
      <c r="G50" s="92"/>
      <c r="H50" s="108"/>
      <c r="I50" s="46"/>
      <c r="J50" s="46"/>
    </row>
    <row r="51" spans="1:10" ht="15" x14ac:dyDescent="0.25">
      <c r="A51" s="130"/>
      <c r="B51" s="68" t="str">
        <f>"Prestation annuelle le "&amp;E72&amp;" avant réduction"</f>
        <v>Prestation annuelle le  avant réduction</v>
      </c>
      <c r="C51" s="73"/>
      <c r="D51" s="73"/>
      <c r="E51" s="75" t="e">
        <f>E90</f>
        <v>#N/A</v>
      </c>
      <c r="F51" s="71"/>
      <c r="G51" s="39"/>
      <c r="H51" s="108"/>
      <c r="I51" s="46"/>
      <c r="J51" s="46"/>
    </row>
    <row r="52" spans="1:10" ht="14.25" x14ac:dyDescent="0.2">
      <c r="A52" s="130"/>
      <c r="B52" s="76" t="s">
        <v>23</v>
      </c>
      <c r="C52" s="73"/>
      <c r="D52" s="74"/>
      <c r="E52" s="77" t="e">
        <f>F35*0.3%</f>
        <v>#NUM!</v>
      </c>
      <c r="F52" s="71"/>
      <c r="G52" s="39"/>
      <c r="H52" s="108"/>
      <c r="I52" s="46"/>
      <c r="J52" s="46"/>
    </row>
    <row r="53" spans="1:10" ht="15" x14ac:dyDescent="0.25">
      <c r="A53" s="130"/>
      <c r="B53" s="72" t="s">
        <v>24</v>
      </c>
      <c r="C53" s="73"/>
      <c r="D53" s="74"/>
      <c r="E53" s="78" t="e">
        <f>E51*E52</f>
        <v>#N/A</v>
      </c>
      <c r="F53" s="71"/>
      <c r="G53" s="39"/>
      <c r="H53" s="108"/>
      <c r="I53" s="46"/>
      <c r="J53" s="46"/>
    </row>
    <row r="54" spans="1:10" ht="5.0999999999999996" customHeight="1" x14ac:dyDescent="0.25">
      <c r="A54" s="133"/>
      <c r="B54" s="93"/>
      <c r="C54" s="73"/>
      <c r="D54" s="74"/>
      <c r="E54" s="70"/>
      <c r="F54" s="79"/>
      <c r="G54" s="80"/>
      <c r="H54" s="134"/>
      <c r="I54" s="46"/>
      <c r="J54" s="46"/>
    </row>
    <row r="55" spans="1:10" ht="14.25" x14ac:dyDescent="0.2">
      <c r="A55" s="130"/>
      <c r="B55" s="76" t="s">
        <v>73</v>
      </c>
      <c r="C55" s="73"/>
      <c r="D55" s="74"/>
      <c r="E55" s="140">
        <f>F22</f>
        <v>0</v>
      </c>
      <c r="F55" s="79" t="s">
        <v>22</v>
      </c>
      <c r="G55" s="80"/>
      <c r="H55" s="108"/>
      <c r="I55" s="46"/>
      <c r="J55" s="46"/>
    </row>
    <row r="56" spans="1:10" ht="15.75" thickBot="1" x14ac:dyDescent="0.3">
      <c r="A56" s="130"/>
      <c r="B56" s="93" t="s">
        <v>21</v>
      </c>
      <c r="C56" s="83"/>
      <c r="D56" s="94"/>
      <c r="E56" s="84" t="e">
        <f>$D$87</f>
        <v>#N/A</v>
      </c>
      <c r="F56" s="95" t="e">
        <f>$E$87</f>
        <v>#N/A</v>
      </c>
      <c r="G56" s="96"/>
      <c r="H56" s="108"/>
      <c r="I56" s="46"/>
      <c r="J56" s="46"/>
    </row>
    <row r="57" spans="1:10" ht="15.75" thickBot="1" x14ac:dyDescent="0.3">
      <c r="A57" s="130"/>
      <c r="B57" s="86" t="s">
        <v>27</v>
      </c>
      <c r="C57" s="97"/>
      <c r="D57" s="97"/>
      <c r="E57" s="98"/>
      <c r="F57" s="89" t="e">
        <f>+E51-E53</f>
        <v>#N/A</v>
      </c>
      <c r="G57" s="90"/>
      <c r="H57" s="108"/>
      <c r="I57" s="46"/>
      <c r="J57" s="46"/>
    </row>
    <row r="58" spans="1:10" ht="15.75" thickBot="1" x14ac:dyDescent="0.3">
      <c r="A58" s="130"/>
      <c r="B58" s="116"/>
      <c r="C58" s="80"/>
      <c r="D58" s="80"/>
      <c r="E58" s="117"/>
      <c r="F58" s="39"/>
      <c r="G58" s="39"/>
      <c r="H58" s="108"/>
      <c r="I58" s="46"/>
      <c r="J58" s="46"/>
    </row>
    <row r="59" spans="1:10" ht="16.5" thickBot="1" x14ac:dyDescent="0.3">
      <c r="A59" s="130"/>
      <c r="B59" s="161" t="s">
        <v>71</v>
      </c>
      <c r="C59" s="162"/>
      <c r="D59" s="162"/>
      <c r="E59" s="162"/>
      <c r="F59" s="163"/>
      <c r="G59" s="67"/>
      <c r="H59" s="108"/>
      <c r="I59" s="46"/>
      <c r="J59" s="46"/>
    </row>
    <row r="60" spans="1:10" ht="5.0999999999999996" customHeight="1" x14ac:dyDescent="0.2">
      <c r="A60" s="130"/>
      <c r="B60" s="76"/>
      <c r="C60" s="69"/>
      <c r="D60" s="69"/>
      <c r="E60" s="70"/>
      <c r="F60" s="91"/>
      <c r="G60" s="92"/>
      <c r="H60" s="108"/>
      <c r="I60" s="46"/>
      <c r="J60" s="46"/>
    </row>
    <row r="61" spans="1:10" ht="15" x14ac:dyDescent="0.25">
      <c r="A61" s="130"/>
      <c r="B61" s="68" t="str">
        <f>"Prestation annuelle le "&amp;E84&amp;" avant réduction"</f>
        <v>Prestation annuelle le  avant réduction</v>
      </c>
      <c r="C61" s="73"/>
      <c r="D61" s="73"/>
      <c r="E61" s="75" t="e">
        <f>E91</f>
        <v>#N/A</v>
      </c>
      <c r="F61" s="71"/>
      <c r="G61" s="39"/>
      <c r="H61" s="108"/>
      <c r="I61" s="46"/>
      <c r="J61" s="46"/>
    </row>
    <row r="62" spans="1:10" ht="14.25" x14ac:dyDescent="0.2">
      <c r="A62" s="130"/>
      <c r="B62" s="76" t="s">
        <v>23</v>
      </c>
      <c r="C62" s="73"/>
      <c r="D62" s="74"/>
      <c r="E62" s="77" t="e">
        <f>F35*0.3%</f>
        <v>#NUM!</v>
      </c>
      <c r="F62" s="71"/>
      <c r="G62" s="39"/>
      <c r="H62" s="108"/>
      <c r="I62" s="46"/>
      <c r="J62" s="46"/>
    </row>
    <row r="63" spans="1:10" ht="15" x14ac:dyDescent="0.25">
      <c r="A63" s="130"/>
      <c r="B63" s="72" t="s">
        <v>24</v>
      </c>
      <c r="C63" s="73"/>
      <c r="D63" s="74"/>
      <c r="E63" s="78" t="e">
        <f>E61*E62</f>
        <v>#N/A</v>
      </c>
      <c r="F63" s="71"/>
      <c r="G63" s="39"/>
      <c r="H63" s="108"/>
      <c r="I63" s="46"/>
      <c r="J63" s="46"/>
    </row>
    <row r="64" spans="1:10" ht="5.0999999999999996" customHeight="1" x14ac:dyDescent="0.25">
      <c r="A64" s="133"/>
      <c r="B64" s="93"/>
      <c r="C64" s="73"/>
      <c r="D64" s="74"/>
      <c r="E64" s="70"/>
      <c r="F64" s="79"/>
      <c r="G64" s="80"/>
      <c r="H64" s="134"/>
      <c r="I64" s="46"/>
      <c r="J64" s="46"/>
    </row>
    <row r="65" spans="1:10" ht="14.25" x14ac:dyDescent="0.2">
      <c r="A65" s="130"/>
      <c r="B65" s="76" t="s">
        <v>74</v>
      </c>
      <c r="C65" s="73"/>
      <c r="D65" s="74"/>
      <c r="E65" s="140" t="e">
        <f>ROUND(ROUND(YEARFRAC(DATE(C28,D28,1),EOMONTH(DATE(C9,D9,E9),0),0)*12,0)/12+G22,4)</f>
        <v>#NUM!</v>
      </c>
      <c r="F65" s="79" t="s">
        <v>22</v>
      </c>
      <c r="G65" s="80"/>
      <c r="H65" s="108"/>
      <c r="I65" s="46"/>
      <c r="J65" s="46"/>
    </row>
    <row r="66" spans="1:10" ht="15.75" thickBot="1" x14ac:dyDescent="0.3">
      <c r="A66" s="130"/>
      <c r="B66" s="93" t="s">
        <v>21</v>
      </c>
      <c r="C66" s="83"/>
      <c r="D66" s="94"/>
      <c r="E66" s="84" t="e">
        <f>$D$87</f>
        <v>#N/A</v>
      </c>
      <c r="F66" s="95" t="e">
        <f>$E$87</f>
        <v>#N/A</v>
      </c>
      <c r="G66" s="96"/>
      <c r="H66" s="108"/>
      <c r="I66" s="46"/>
      <c r="J66" s="46"/>
    </row>
    <row r="67" spans="1:10" ht="15.75" thickBot="1" x14ac:dyDescent="0.3">
      <c r="A67" s="130"/>
      <c r="B67" s="86" t="s">
        <v>72</v>
      </c>
      <c r="C67" s="97"/>
      <c r="D67" s="97"/>
      <c r="E67" s="98"/>
      <c r="F67" s="89" t="e">
        <f>+E61-E63</f>
        <v>#N/A</v>
      </c>
      <c r="G67" s="90"/>
      <c r="H67" s="108"/>
      <c r="I67" s="46"/>
      <c r="J67" s="46"/>
    </row>
    <row r="68" spans="1:10" ht="21" customHeight="1" x14ac:dyDescent="0.3">
      <c r="A68" s="130"/>
      <c r="B68" s="143" t="e">
        <f>CONCATENATE("Estimation votre prestation à la retraite au ","1 "&amp;VLOOKUP($D$28,$P$5:$Q$16,2,0)&amp;" "&amp;$C$28)</f>
        <v>#N/A</v>
      </c>
      <c r="C68" s="144"/>
      <c r="D68" s="144"/>
      <c r="E68" s="142"/>
      <c r="F68" s="170" t="e">
        <f>+F57+F47</f>
        <v>#N/A</v>
      </c>
      <c r="G68" s="99"/>
      <c r="H68" s="108"/>
      <c r="I68" s="46"/>
      <c r="J68" s="46"/>
    </row>
    <row r="69" spans="1:10" ht="15" customHeight="1" x14ac:dyDescent="0.3">
      <c r="A69" s="130"/>
      <c r="B69" s="148" t="s">
        <v>75</v>
      </c>
      <c r="C69" s="146"/>
      <c r="D69" s="146"/>
      <c r="E69" s="147"/>
      <c r="F69" s="171"/>
      <c r="G69" s="99"/>
      <c r="H69" s="108"/>
      <c r="I69" s="46"/>
      <c r="J69" s="46"/>
    </row>
    <row r="70" spans="1:10" ht="21" customHeight="1" x14ac:dyDescent="0.3">
      <c r="A70" s="130"/>
      <c r="B70" s="145" t="e">
        <f>CONCATENATE("Estimation totale de votre prestation à la retraite au ","1 "&amp;VLOOKUP($D$28,$P$5:$Q$16,2,0)&amp;" "&amp;$C$28)</f>
        <v>#N/A</v>
      </c>
      <c r="C70" s="146"/>
      <c r="D70" s="146"/>
      <c r="E70" s="147"/>
      <c r="F70" s="171" t="e">
        <f>F67</f>
        <v>#N/A</v>
      </c>
      <c r="G70" s="99"/>
      <c r="H70" s="108"/>
      <c r="I70" s="46"/>
      <c r="J70" s="46"/>
    </row>
    <row r="71" spans="1:10" ht="21" customHeight="1" thickBot="1" x14ac:dyDescent="0.35">
      <c r="A71" s="130"/>
      <c r="B71" s="152" t="str">
        <f>CONCATENATE(,"(avec indexation selon IPC calculé au 31 octobre de l'année précédente à partir du 1 janvier ",C28+1,")*")</f>
        <v>(avec indexation selon IPC calculé au 31 octobre de l'année précédente à partir du 1 janvier 1)*</v>
      </c>
      <c r="C71" s="153"/>
      <c r="D71" s="153"/>
      <c r="E71" s="154"/>
      <c r="F71" s="172"/>
      <c r="G71" s="99"/>
      <c r="H71" s="108"/>
      <c r="I71" s="46"/>
      <c r="J71" s="46"/>
    </row>
    <row r="72" spans="1:10" ht="21" customHeight="1" thickTop="1" thickBot="1" x14ac:dyDescent="0.35">
      <c r="A72" s="130"/>
      <c r="B72" s="149" t="e">
        <f>CONCATENATE("Estimation totale de votre prestation à la retraite au ","1 "&amp;VLOOKUP($D$28,$P$5:$Q$16,2,0)&amp;" "&amp;$C$28)</f>
        <v>#N/A</v>
      </c>
      <c r="C72" s="150"/>
      <c r="D72" s="150"/>
      <c r="E72" s="141"/>
      <c r="F72" s="151" t="e">
        <f>F68+F70</f>
        <v>#N/A</v>
      </c>
      <c r="G72" s="99"/>
      <c r="H72" s="108"/>
      <c r="I72" s="46"/>
      <c r="J72" s="46"/>
    </row>
    <row r="73" spans="1:10" ht="18.75" thickBot="1" x14ac:dyDescent="0.3">
      <c r="A73" s="130"/>
      <c r="B73" s="100" t="s">
        <v>46</v>
      </c>
      <c r="C73" s="101"/>
      <c r="D73" s="101"/>
      <c r="E73" s="102" t="e">
        <f>+E53+E43+E63</f>
        <v>#N/A</v>
      </c>
      <c r="F73" s="118"/>
      <c r="G73" s="118"/>
      <c r="H73" s="108"/>
      <c r="I73" s="46"/>
      <c r="J73" s="46"/>
    </row>
    <row r="74" spans="1:10" ht="5.0999999999999996" customHeight="1" x14ac:dyDescent="0.2">
      <c r="A74" s="130"/>
      <c r="B74" s="103"/>
      <c r="C74" s="103"/>
      <c r="D74" s="103"/>
      <c r="E74" s="103"/>
      <c r="F74" s="103"/>
      <c r="G74" s="103"/>
      <c r="H74" s="108"/>
      <c r="I74" s="46"/>
      <c r="J74" s="46"/>
    </row>
    <row r="75" spans="1:10" ht="15" x14ac:dyDescent="0.25">
      <c r="A75" s="130"/>
      <c r="B75" s="51" t="s">
        <v>32</v>
      </c>
      <c r="C75" s="39"/>
      <c r="D75" s="39"/>
      <c r="E75" s="39"/>
      <c r="F75" s="39"/>
      <c r="G75" s="39"/>
      <c r="H75" s="108"/>
      <c r="I75" s="46"/>
      <c r="J75" s="46"/>
    </row>
    <row r="76" spans="1:10" ht="57.75" customHeight="1" x14ac:dyDescent="0.2">
      <c r="A76" s="130"/>
      <c r="B76" s="160" t="s">
        <v>31</v>
      </c>
      <c r="C76" s="160"/>
      <c r="D76" s="160"/>
      <c r="E76" s="160"/>
      <c r="F76" s="160"/>
      <c r="G76" s="160"/>
      <c r="H76" s="108"/>
      <c r="I76" s="46"/>
      <c r="J76" s="46"/>
    </row>
    <row r="77" spans="1:10" ht="15" x14ac:dyDescent="0.25">
      <c r="A77" s="130"/>
      <c r="B77" s="159" t="s">
        <v>86</v>
      </c>
      <c r="C77" s="39"/>
      <c r="D77" s="39"/>
      <c r="E77" s="39"/>
      <c r="F77" s="39"/>
      <c r="G77" s="39"/>
      <c r="H77" s="108"/>
      <c r="I77" s="46"/>
      <c r="J77" s="46"/>
    </row>
    <row r="78" spans="1:10" ht="74.25" customHeight="1" x14ac:dyDescent="0.2">
      <c r="A78" s="130"/>
      <c r="B78" s="160" t="s">
        <v>87</v>
      </c>
      <c r="C78" s="160"/>
      <c r="D78" s="160"/>
      <c r="E78" s="160"/>
      <c r="F78" s="160"/>
      <c r="G78" s="160"/>
      <c r="H78" s="108"/>
      <c r="I78" s="46"/>
      <c r="J78" s="46"/>
    </row>
    <row r="79" spans="1:10" ht="14.25" customHeight="1" x14ac:dyDescent="0.2">
      <c r="A79" s="135"/>
      <c r="B79" s="136"/>
      <c r="C79" s="136"/>
      <c r="D79" s="136"/>
      <c r="E79" s="136"/>
      <c r="F79" s="136"/>
      <c r="G79" s="136"/>
      <c r="H79" s="137"/>
      <c r="I79" s="46"/>
      <c r="J79" s="46"/>
    </row>
    <row r="80" spans="1:10" ht="14.25" hidden="1" x14ac:dyDescent="0.2">
      <c r="A80" s="45"/>
      <c r="B80" s="5"/>
      <c r="C80" s="5"/>
      <c r="D80" s="5"/>
      <c r="E80" s="5"/>
      <c r="F80" s="5"/>
      <c r="G80" s="5"/>
      <c r="H80" s="45"/>
      <c r="I80" s="46"/>
      <c r="J80" s="46"/>
    </row>
    <row r="81" spans="1:10" ht="14.25" hidden="1" x14ac:dyDescent="0.2">
      <c r="A81" s="45"/>
      <c r="B81" s="5"/>
      <c r="C81" s="5"/>
      <c r="D81" s="5"/>
      <c r="E81" s="5"/>
      <c r="F81" s="5"/>
      <c r="G81" s="5"/>
      <c r="H81" s="45"/>
      <c r="I81" s="105"/>
      <c r="J81" s="105"/>
    </row>
    <row r="82" spans="1:10" ht="14.25" hidden="1" x14ac:dyDescent="0.2">
      <c r="A82" s="106"/>
      <c r="B82" s="104"/>
      <c r="C82" s="104"/>
      <c r="D82" s="104"/>
      <c r="E82" s="104"/>
      <c r="F82" s="104"/>
      <c r="G82" s="104"/>
      <c r="H82" s="106"/>
      <c r="I82" s="105"/>
      <c r="J82" s="105"/>
    </row>
    <row r="83" spans="1:10" ht="14.25" hidden="1" x14ac:dyDescent="0.2">
      <c r="A83" s="106"/>
      <c r="B83" s="104"/>
      <c r="C83" s="104"/>
      <c r="D83" s="104"/>
      <c r="E83" s="104"/>
      <c r="F83" s="104"/>
      <c r="G83" s="104"/>
      <c r="H83" s="106"/>
      <c r="I83" s="105"/>
      <c r="J83" s="105"/>
    </row>
    <row r="84" spans="1:10" ht="14.25" hidden="1" x14ac:dyDescent="0.2">
      <c r="A84" s="106"/>
      <c r="B84" s="104"/>
      <c r="C84" s="104"/>
      <c r="D84" s="104"/>
      <c r="E84" s="104"/>
      <c r="F84" s="104"/>
      <c r="G84" s="104"/>
      <c r="H84" s="106"/>
      <c r="I84" s="105"/>
      <c r="J84" s="105"/>
    </row>
    <row r="85" spans="1:10" ht="14.25" hidden="1" x14ac:dyDescent="0.2">
      <c r="A85" s="106"/>
      <c r="B85" s="5"/>
      <c r="C85" s="5"/>
      <c r="D85" s="5"/>
      <c r="E85" s="5"/>
      <c r="F85" s="5"/>
      <c r="G85" s="5"/>
      <c r="H85" s="106"/>
      <c r="I85" s="105"/>
      <c r="J85" s="105"/>
    </row>
    <row r="86" spans="1:10" ht="14.25" hidden="1" x14ac:dyDescent="0.2">
      <c r="A86" s="106"/>
      <c r="B86" s="21"/>
      <c r="C86" s="21"/>
      <c r="D86" s="6"/>
      <c r="E86" s="8" t="s">
        <v>8</v>
      </c>
      <c r="F86" s="5"/>
      <c r="G86" s="5"/>
      <c r="H86" s="106"/>
      <c r="I86" s="59"/>
      <c r="J86" s="59"/>
    </row>
    <row r="87" spans="1:10" ht="14.25" hidden="1" x14ac:dyDescent="0.2">
      <c r="A87" s="45"/>
      <c r="B87" s="21" t="s">
        <v>5</v>
      </c>
      <c r="C87" s="21"/>
      <c r="D87" s="15" t="e">
        <f>Calculatrice!M20</f>
        <v>#N/A</v>
      </c>
      <c r="E87" s="14" t="e">
        <f>MIN($D$87,Calculatrice!M21)</f>
        <v>#N/A</v>
      </c>
      <c r="F87" s="5"/>
      <c r="G87" s="5"/>
      <c r="H87" s="45"/>
      <c r="I87" s="46"/>
      <c r="J87" s="46"/>
    </row>
    <row r="88" spans="1:10" ht="14.25" hidden="1" x14ac:dyDescent="0.2">
      <c r="A88" s="45"/>
      <c r="B88" s="21"/>
      <c r="C88" s="21"/>
      <c r="D88" s="6"/>
      <c r="E88" s="7"/>
      <c r="F88" s="5"/>
      <c r="G88" s="5"/>
      <c r="H88" s="45"/>
      <c r="I88" s="46"/>
      <c r="J88" s="46"/>
    </row>
    <row r="89" spans="1:10" ht="14.25" hidden="1" x14ac:dyDescent="0.2">
      <c r="A89" s="45"/>
      <c r="B89" s="21" t="s">
        <v>7</v>
      </c>
      <c r="C89" s="21"/>
      <c r="D89" s="10"/>
      <c r="E89" s="9" t="e">
        <f>((MIN(E87,86111)*(B22+C22+E22)+MIN(E87,57500)*D22)*2%)</f>
        <v>#N/A</v>
      </c>
      <c r="F89" s="5"/>
      <c r="G89" s="5"/>
      <c r="H89" s="45"/>
      <c r="I89" s="46"/>
      <c r="J89" s="46"/>
    </row>
    <row r="90" spans="1:10" ht="14.25" hidden="1" x14ac:dyDescent="0.2">
      <c r="A90" s="45"/>
      <c r="B90" s="21" t="s">
        <v>69</v>
      </c>
      <c r="C90" s="21"/>
      <c r="D90" s="10"/>
      <c r="E90" s="9" t="e">
        <f>(E87*ROUND(F22,4)*1.5%)</f>
        <v>#N/A</v>
      </c>
      <c r="F90" s="5"/>
      <c r="G90" s="5"/>
      <c r="H90" s="45"/>
      <c r="I90" s="46"/>
      <c r="J90" s="46"/>
    </row>
    <row r="91" spans="1:10" ht="14.25" hidden="1" x14ac:dyDescent="0.2">
      <c r="A91" s="45"/>
      <c r="B91" s="21" t="s">
        <v>70</v>
      </c>
      <c r="C91" s="21"/>
      <c r="D91" s="5"/>
      <c r="E91" s="9" t="e">
        <f>(E87*ROUND(YEARFRAC(DATE(C28,D28,1),DATE($C$9+1,1,1),0)+G22,4)*1.5%)</f>
        <v>#N/A</v>
      </c>
      <c r="F91" s="5"/>
      <c r="G91" s="5"/>
      <c r="H91" s="45"/>
      <c r="I91" s="46"/>
      <c r="J91" s="46"/>
    </row>
    <row r="92" spans="1:10" ht="14.25" hidden="1" x14ac:dyDescent="0.2">
      <c r="A92" s="45"/>
      <c r="B92" s="5"/>
      <c r="C92" s="5"/>
      <c r="D92" s="5"/>
      <c r="E92" s="5"/>
      <c r="F92" s="5"/>
      <c r="G92" s="5"/>
      <c r="H92" s="45"/>
      <c r="I92" s="46"/>
      <c r="J92" s="46"/>
    </row>
    <row r="93" spans="1:10" ht="14.25" hidden="1" x14ac:dyDescent="0.2">
      <c r="A93" s="45"/>
      <c r="B93" s="5" t="s">
        <v>76</v>
      </c>
      <c r="C93" s="5"/>
      <c r="D93" s="5"/>
      <c r="E93" s="155" t="e">
        <f>+DATE(C28,D28,1)</f>
        <v>#NUM!</v>
      </c>
      <c r="F93" s="5"/>
      <c r="G93" s="5"/>
      <c r="H93" s="45"/>
      <c r="I93" s="46"/>
      <c r="J93" s="46"/>
    </row>
    <row r="94" spans="1:10" ht="14.25" hidden="1" x14ac:dyDescent="0.2">
      <c r="A94" s="45"/>
      <c r="B94" s="5"/>
      <c r="C94" s="5"/>
      <c r="D94" s="5"/>
      <c r="E94" s="5"/>
      <c r="F94" s="5"/>
      <c r="G94" s="5"/>
      <c r="H94" s="45"/>
      <c r="I94" s="46"/>
      <c r="J94" s="46"/>
    </row>
    <row r="95" spans="1:10" ht="14.25" hidden="1" x14ac:dyDescent="0.2">
      <c r="A95" s="45"/>
      <c r="B95" s="5"/>
      <c r="C95" s="5"/>
      <c r="D95" s="5"/>
      <c r="E95" s="5"/>
      <c r="F95" s="5"/>
      <c r="G95" s="5"/>
      <c r="H95" s="45"/>
      <c r="I95" s="46"/>
      <c r="J95" s="46"/>
    </row>
    <row r="96" spans="1:10" ht="14.25" hidden="1" x14ac:dyDescent="0.2">
      <c r="A96" s="45"/>
      <c r="B96" s="5"/>
      <c r="C96" s="5"/>
      <c r="D96" s="5"/>
      <c r="E96" s="5"/>
      <c r="F96" s="5"/>
      <c r="G96" s="5"/>
      <c r="H96" s="45"/>
      <c r="I96" s="46"/>
      <c r="J96" s="46"/>
    </row>
    <row r="97" spans="1:10" ht="14.25" hidden="1" x14ac:dyDescent="0.2">
      <c r="A97" s="45"/>
      <c r="B97" s="5"/>
      <c r="C97" s="5"/>
      <c r="D97" s="5"/>
      <c r="E97" s="5"/>
      <c r="F97" s="5"/>
      <c r="G97" s="5"/>
      <c r="H97" s="45"/>
      <c r="I97" s="46"/>
      <c r="J97" s="46"/>
    </row>
    <row r="98" spans="1:10" ht="14.25" hidden="1" x14ac:dyDescent="0.2">
      <c r="A98" s="45"/>
      <c r="B98" s="5"/>
      <c r="C98" s="5"/>
      <c r="D98" s="5"/>
      <c r="E98" s="5"/>
      <c r="F98" s="5"/>
      <c r="G98" s="5"/>
      <c r="H98" s="45"/>
      <c r="I98" s="46"/>
      <c r="J98" s="46"/>
    </row>
    <row r="99" spans="1:10" ht="14.25" hidden="1" x14ac:dyDescent="0.2">
      <c r="A99" s="45"/>
      <c r="B99" s="5"/>
      <c r="C99" s="5"/>
      <c r="D99" s="5"/>
      <c r="E99" s="5"/>
      <c r="F99" s="5"/>
      <c r="G99" s="5"/>
      <c r="H99" s="45"/>
      <c r="I99" s="46"/>
      <c r="J99" s="46"/>
    </row>
    <row r="100" spans="1:10" ht="14.25" hidden="1" x14ac:dyDescent="0.2">
      <c r="A100" s="45"/>
      <c r="B100" s="5"/>
      <c r="C100" s="5"/>
      <c r="D100" s="5"/>
      <c r="E100" s="5"/>
      <c r="F100" s="5"/>
      <c r="G100" s="5"/>
      <c r="H100" s="45"/>
      <c r="I100" s="46"/>
      <c r="J100" s="46"/>
    </row>
    <row r="101" spans="1:10" ht="14.25" hidden="1" x14ac:dyDescent="0.2">
      <c r="A101" s="45"/>
      <c r="B101" s="5"/>
      <c r="C101" s="5"/>
      <c r="D101" s="5"/>
      <c r="E101" s="5"/>
      <c r="F101" s="5"/>
      <c r="G101" s="5"/>
      <c r="H101" s="45"/>
      <c r="I101" s="46"/>
      <c r="J101" s="46"/>
    </row>
    <row r="102" spans="1:10" ht="14.25" hidden="1" x14ac:dyDescent="0.2">
      <c r="A102" s="45"/>
      <c r="B102" s="5"/>
      <c r="C102" s="5"/>
      <c r="D102" s="5"/>
      <c r="E102" s="5"/>
      <c r="F102" s="5"/>
      <c r="G102" s="5"/>
      <c r="H102" s="45"/>
      <c r="I102" s="46"/>
      <c r="J102" s="46"/>
    </row>
    <row r="103" spans="1:10" ht="14.25" hidden="1" x14ac:dyDescent="0.2">
      <c r="A103" s="45"/>
      <c r="B103" s="5"/>
      <c r="C103" s="5"/>
      <c r="D103" s="5"/>
      <c r="E103" s="5"/>
      <c r="F103" s="5"/>
      <c r="G103" s="5"/>
      <c r="H103" s="45"/>
      <c r="I103" s="46"/>
      <c r="J103" s="46"/>
    </row>
    <row r="104" spans="1:10" ht="14.25" hidden="1" x14ac:dyDescent="0.2">
      <c r="A104" s="45"/>
      <c r="B104" s="5"/>
      <c r="C104" s="5"/>
      <c r="D104" s="5"/>
      <c r="E104" s="5"/>
      <c r="F104" s="5"/>
      <c r="G104" s="5"/>
      <c r="H104" s="45"/>
      <c r="I104" s="46"/>
      <c r="J104" s="46"/>
    </row>
    <row r="105" spans="1:10" ht="14.25" hidden="1" x14ac:dyDescent="0.2">
      <c r="A105" s="45"/>
      <c r="B105" s="5"/>
      <c r="C105" s="5"/>
      <c r="D105" s="5"/>
      <c r="E105" s="5"/>
      <c r="F105" s="5"/>
      <c r="G105" s="5"/>
      <c r="H105" s="45"/>
      <c r="I105" s="46"/>
      <c r="J105" s="46"/>
    </row>
    <row r="106" spans="1:10" ht="14.25" hidden="1" x14ac:dyDescent="0.2">
      <c r="A106" s="45"/>
      <c r="B106" s="5"/>
      <c r="C106" s="5"/>
      <c r="D106" s="5"/>
      <c r="E106" s="5"/>
      <c r="F106" s="5"/>
      <c r="G106" s="5"/>
      <c r="H106" s="45"/>
      <c r="I106" s="46"/>
      <c r="J106" s="46"/>
    </row>
    <row r="107" spans="1:10" ht="14.25" hidden="1" x14ac:dyDescent="0.2">
      <c r="A107" s="45"/>
      <c r="B107" s="5"/>
      <c r="C107" s="5"/>
      <c r="D107" s="5"/>
      <c r="E107" s="5"/>
      <c r="F107" s="5"/>
      <c r="G107" s="5"/>
      <c r="H107" s="45"/>
      <c r="I107" s="46"/>
      <c r="J107" s="46"/>
    </row>
    <row r="108" spans="1:10" ht="14.25" hidden="1" x14ac:dyDescent="0.2">
      <c r="A108" s="45"/>
      <c r="B108" s="5"/>
      <c r="C108" s="5"/>
      <c r="D108" s="5"/>
      <c r="E108" s="5"/>
      <c r="F108" s="5"/>
      <c r="G108" s="5"/>
      <c r="H108" s="45"/>
      <c r="I108" s="46"/>
      <c r="J108" s="46"/>
    </row>
    <row r="109" spans="1:10" ht="14.25" hidden="1" x14ac:dyDescent="0.2">
      <c r="A109" s="45"/>
      <c r="B109" s="5"/>
      <c r="C109" s="5"/>
      <c r="D109" s="5"/>
      <c r="E109" s="5"/>
      <c r="F109" s="5"/>
      <c r="G109" s="5"/>
      <c r="H109" s="45"/>
      <c r="I109" s="46"/>
      <c r="J109" s="46"/>
    </row>
    <row r="110" spans="1:10" ht="14.25" hidden="1" x14ac:dyDescent="0.2">
      <c r="A110" s="45"/>
      <c r="B110" s="5"/>
      <c r="C110" s="5"/>
      <c r="D110" s="5"/>
      <c r="E110" s="5"/>
      <c r="F110" s="5"/>
      <c r="G110" s="5"/>
      <c r="H110" s="45"/>
      <c r="I110" s="46"/>
      <c r="J110" s="46"/>
    </row>
    <row r="111" spans="1:10" ht="14.25" hidden="1" x14ac:dyDescent="0.2">
      <c r="A111" s="45"/>
      <c r="B111" s="5"/>
      <c r="C111" s="5"/>
      <c r="D111" s="5"/>
      <c r="E111" s="5"/>
      <c r="F111" s="5"/>
      <c r="G111" s="5"/>
      <c r="H111" s="45"/>
      <c r="I111" s="46"/>
      <c r="J111" s="46"/>
    </row>
    <row r="112" spans="1:10" ht="14.25" hidden="1" x14ac:dyDescent="0.2">
      <c r="A112" s="45"/>
      <c r="B112" s="5"/>
      <c r="C112" s="5"/>
      <c r="D112" s="5"/>
      <c r="E112" s="5"/>
      <c r="F112" s="5"/>
      <c r="G112" s="5"/>
      <c r="H112" s="45"/>
      <c r="I112" s="46"/>
      <c r="J112" s="46"/>
    </row>
    <row r="113" spans="1:10" ht="14.25" hidden="1" x14ac:dyDescent="0.2">
      <c r="A113" s="45"/>
      <c r="B113" s="5"/>
      <c r="C113" s="5"/>
      <c r="D113" s="5"/>
      <c r="E113" s="5"/>
      <c r="F113" s="5"/>
      <c r="G113" s="5"/>
      <c r="H113" s="45"/>
      <c r="I113" s="46"/>
      <c r="J113" s="46"/>
    </row>
    <row r="114" spans="1:10" ht="14.25" hidden="1" x14ac:dyDescent="0.2">
      <c r="A114" s="45"/>
      <c r="B114" s="5"/>
      <c r="C114" s="5"/>
      <c r="D114" s="5"/>
      <c r="E114" s="5"/>
      <c r="F114" s="5"/>
      <c r="G114" s="5"/>
      <c r="H114" s="45"/>
      <c r="I114" s="46"/>
      <c r="J114" s="46"/>
    </row>
    <row r="115" spans="1:10" ht="14.25" hidden="1" x14ac:dyDescent="0.2">
      <c r="A115" s="45"/>
      <c r="B115" s="5"/>
      <c r="C115" s="5"/>
      <c r="D115" s="5"/>
      <c r="E115" s="5"/>
      <c r="F115" s="5"/>
      <c r="G115" s="5"/>
      <c r="H115" s="45"/>
      <c r="I115" s="46"/>
      <c r="J115" s="46"/>
    </row>
    <row r="116" spans="1:10" ht="14.25" hidden="1" x14ac:dyDescent="0.2">
      <c r="A116" s="45"/>
      <c r="B116" s="5"/>
      <c r="C116" s="5"/>
      <c r="D116" s="5"/>
      <c r="E116" s="5"/>
      <c r="F116" s="5"/>
      <c r="G116" s="5"/>
      <c r="H116" s="45"/>
      <c r="I116" s="46"/>
      <c r="J116" s="46"/>
    </row>
    <row r="117" spans="1:10" ht="14.25" hidden="1" x14ac:dyDescent="0.2">
      <c r="A117" s="45"/>
      <c r="B117" s="5"/>
      <c r="C117" s="5"/>
      <c r="D117" s="5"/>
      <c r="E117" s="5"/>
      <c r="F117" s="5"/>
      <c r="G117" s="5"/>
      <c r="H117" s="45"/>
      <c r="I117" s="46"/>
      <c r="J117" s="46"/>
    </row>
    <row r="118" spans="1:10" ht="14.25" hidden="1" x14ac:dyDescent="0.2">
      <c r="A118" s="45"/>
      <c r="B118" s="5"/>
      <c r="C118" s="5"/>
      <c r="D118" s="5"/>
      <c r="E118" s="5"/>
      <c r="F118" s="5"/>
      <c r="G118" s="5"/>
      <c r="H118" s="45"/>
      <c r="I118" s="46"/>
      <c r="J118" s="46"/>
    </row>
    <row r="119" spans="1:10" ht="14.25" hidden="1" x14ac:dyDescent="0.2">
      <c r="A119" s="45"/>
      <c r="B119" s="5"/>
      <c r="C119" s="5"/>
      <c r="D119" s="5"/>
      <c r="E119" s="5"/>
      <c r="F119" s="5"/>
      <c r="G119" s="5"/>
      <c r="H119" s="45"/>
      <c r="I119" s="46"/>
      <c r="J119" s="46"/>
    </row>
    <row r="120" spans="1:10" ht="14.25" hidden="1" x14ac:dyDescent="0.2">
      <c r="A120" s="45"/>
      <c r="B120" s="5"/>
      <c r="C120" s="5"/>
      <c r="D120" s="5"/>
      <c r="E120" s="5"/>
      <c r="F120" s="5"/>
      <c r="G120" s="5"/>
      <c r="H120" s="45"/>
      <c r="I120" s="46"/>
      <c r="J120" s="46"/>
    </row>
    <row r="121" spans="1:10" ht="14.25" hidden="1" x14ac:dyDescent="0.2">
      <c r="A121" s="45"/>
      <c r="B121" s="5"/>
      <c r="C121" s="5"/>
      <c r="D121" s="5"/>
      <c r="E121" s="5"/>
      <c r="F121" s="5"/>
      <c r="G121" s="5"/>
      <c r="H121" s="45"/>
      <c r="I121" s="46"/>
      <c r="J121" s="46"/>
    </row>
    <row r="122" spans="1:10" ht="14.25" hidden="1" x14ac:dyDescent="0.2">
      <c r="A122" s="45"/>
      <c r="B122" s="5"/>
      <c r="C122" s="5"/>
      <c r="D122" s="5"/>
      <c r="E122" s="5"/>
      <c r="F122" s="5"/>
      <c r="G122" s="5"/>
      <c r="H122" s="45"/>
      <c r="I122" s="46"/>
      <c r="J122" s="46"/>
    </row>
    <row r="123" spans="1:10" ht="14.25" hidden="1" x14ac:dyDescent="0.2">
      <c r="A123" s="45"/>
      <c r="B123" s="5"/>
      <c r="C123" s="5"/>
      <c r="D123" s="5"/>
      <c r="E123" s="5"/>
      <c r="F123" s="5"/>
      <c r="G123" s="5"/>
      <c r="H123" s="45"/>
      <c r="I123" s="46"/>
      <c r="J123" s="46"/>
    </row>
    <row r="124" spans="1:10" ht="14.25" hidden="1" x14ac:dyDescent="0.2">
      <c r="A124" s="45"/>
      <c r="B124" s="5"/>
      <c r="C124" s="5"/>
      <c r="D124" s="5"/>
      <c r="E124" s="5"/>
      <c r="F124" s="5"/>
      <c r="G124" s="5"/>
      <c r="H124" s="45"/>
      <c r="I124" s="46"/>
      <c r="J124" s="46"/>
    </row>
    <row r="125" spans="1:10" ht="14.25" hidden="1" x14ac:dyDescent="0.2">
      <c r="A125" s="45"/>
      <c r="B125" s="5"/>
      <c r="C125" s="5"/>
      <c r="D125" s="5"/>
      <c r="E125" s="5"/>
      <c r="F125" s="5"/>
      <c r="G125" s="5"/>
      <c r="H125" s="45"/>
      <c r="I125" s="46"/>
      <c r="J125" s="46"/>
    </row>
    <row r="126" spans="1:10" ht="14.25" hidden="1" x14ac:dyDescent="0.2">
      <c r="A126" s="45"/>
      <c r="B126" s="5"/>
      <c r="C126" s="5"/>
      <c r="D126" s="5"/>
      <c r="E126" s="5"/>
      <c r="F126" s="5"/>
      <c r="G126" s="5"/>
      <c r="H126" s="45"/>
      <c r="I126" s="46"/>
      <c r="J126" s="46"/>
    </row>
    <row r="127" spans="1:10" ht="14.25" hidden="1" x14ac:dyDescent="0.2">
      <c r="A127" s="45"/>
      <c r="B127" s="5"/>
      <c r="C127" s="5"/>
      <c r="D127" s="5"/>
      <c r="E127" s="5"/>
      <c r="F127" s="5"/>
      <c r="G127" s="5"/>
      <c r="H127" s="45"/>
    </row>
    <row r="128" spans="1:10" ht="14.25" hidden="1" x14ac:dyDescent="0.2">
      <c r="B128" s="5"/>
      <c r="C128" s="5"/>
      <c r="D128" s="5"/>
      <c r="E128" s="5"/>
      <c r="F128" s="5"/>
      <c r="G128" s="5"/>
    </row>
    <row r="129" spans="2:7" ht="14.25" hidden="1" x14ac:dyDescent="0.2">
      <c r="B129" s="5"/>
      <c r="C129" s="5"/>
      <c r="D129" s="5"/>
      <c r="E129" s="5"/>
      <c r="F129" s="5"/>
      <c r="G129" s="5"/>
    </row>
    <row r="130" spans="2:7" ht="14.25" hidden="1" x14ac:dyDescent="0.2">
      <c r="B130" s="5"/>
      <c r="C130" s="5"/>
      <c r="D130" s="5"/>
      <c r="E130" s="5"/>
      <c r="F130" s="5"/>
      <c r="G130" s="5"/>
    </row>
    <row r="131" spans="2:7" ht="14.25" hidden="1" x14ac:dyDescent="0.2">
      <c r="B131" s="5"/>
      <c r="C131" s="5"/>
      <c r="D131" s="5"/>
      <c r="E131" s="5"/>
      <c r="F131" s="5"/>
      <c r="G131" s="5"/>
    </row>
    <row r="132" spans="2:7" hidden="1" x14ac:dyDescent="0.2"/>
    <row r="133" spans="2:7" hidden="1" x14ac:dyDescent="0.2"/>
    <row r="134" spans="2:7" hidden="1" x14ac:dyDescent="0.2"/>
    <row r="135" spans="2:7" hidden="1" x14ac:dyDescent="0.2"/>
    <row r="136" spans="2:7" hidden="1" x14ac:dyDescent="0.2"/>
    <row r="137" spans="2:7" hidden="1" x14ac:dyDescent="0.2"/>
    <row r="138" spans="2:7" hidden="1" x14ac:dyDescent="0.2"/>
    <row r="139" spans="2:7" hidden="1" x14ac:dyDescent="0.2"/>
    <row r="140" spans="2:7" hidden="1" x14ac:dyDescent="0.2"/>
    <row r="141" spans="2:7" hidden="1" x14ac:dyDescent="0.2"/>
    <row r="142" spans="2:7" hidden="1" x14ac:dyDescent="0.2"/>
    <row r="143" spans="2:7" hidden="1" x14ac:dyDescent="0.2"/>
    <row r="144" spans="2:7"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sheetData>
  <sheetProtection algorithmName="SHA-512" hashValue="xIkzynFIlLck/wpnkBpy+JZW3nbk1lYhPlgDzLrF6DT4naqrSK7UX6N/Y65rOVIdSCd/jKjL1XDjrD8wnhrw9g==" saltValue="cfZ0tNbzbYcoxt6J2RmezA==" spinCount="100000" sheet="1" objects="1" scenarios="1"/>
  <protectedRanges>
    <protectedRange sqref="C5:E5 C8:D8 C9 C10:E10 E12:E13 D15 D24:E24 D25:F25 C28:D28 B22:F22" name="Range1"/>
  </protectedRanges>
  <mergeCells count="23">
    <mergeCell ref="B78:G78"/>
    <mergeCell ref="B33:F33"/>
    <mergeCell ref="B25:C25"/>
    <mergeCell ref="A1:H1"/>
    <mergeCell ref="A2:H2"/>
    <mergeCell ref="B16:G16"/>
    <mergeCell ref="B12:D12"/>
    <mergeCell ref="B13:D13"/>
    <mergeCell ref="B17:G17"/>
    <mergeCell ref="B30:G30"/>
    <mergeCell ref="B31:G31"/>
    <mergeCell ref="B15:C15"/>
    <mergeCell ref="C5:E5"/>
    <mergeCell ref="B3:G3"/>
    <mergeCell ref="B19:G20"/>
    <mergeCell ref="B37:F38"/>
    <mergeCell ref="B76:G76"/>
    <mergeCell ref="B49:F49"/>
    <mergeCell ref="B34:D35"/>
    <mergeCell ref="B39:F39"/>
    <mergeCell ref="B59:F59"/>
    <mergeCell ref="F68:F69"/>
    <mergeCell ref="F70:F71"/>
  </mergeCells>
  <phoneticPr fontId="2" type="noConversion"/>
  <conditionalFormatting sqref="B68:G71">
    <cfRule type="expression" dxfId="17" priority="12">
      <formula>AND(OR(OR($D$24=0,$D$24=""),OR($D$25="",$D$25=0),OR($C$28=0,$C$28="")),$I$2="Hide")</formula>
    </cfRule>
  </conditionalFormatting>
  <conditionalFormatting sqref="B18:G76 B79:G82">
    <cfRule type="expression" dxfId="16" priority="11">
      <formula>AND(OR($C$8=0,$C$8=""),$I$2&lt;&gt;"Show")</formula>
    </cfRule>
  </conditionalFormatting>
  <conditionalFormatting sqref="B39:F47">
    <cfRule type="expression" dxfId="15" priority="18">
      <formula>AND($C$8&gt;=2014,$I$2&lt;&gt;"Show")</formula>
    </cfRule>
  </conditionalFormatting>
  <conditionalFormatting sqref="B21:B22">
    <cfRule type="expression" dxfId="14" priority="14">
      <formula>AND($C$8&gt;=1992,$I$2&lt;&gt;"Show")</formula>
    </cfRule>
  </conditionalFormatting>
  <conditionalFormatting sqref="C21:C22">
    <cfRule type="expression" dxfId="13" priority="10">
      <formula>AND($C$8&gt;=2014,$I$2&lt;&gt;"Show")</formula>
    </cfRule>
  </conditionalFormatting>
  <conditionalFormatting sqref="B24:F24">
    <cfRule type="expression" dxfId="12" priority="9">
      <formula>AND($C$8&gt;=2014,$I$2&lt;&gt;"Show")</formula>
    </cfRule>
  </conditionalFormatting>
  <conditionalFormatting sqref="F21">
    <cfRule type="expression" dxfId="11" priority="8">
      <formula>AND($C$8&gt;=2025,$I$2&lt;&gt;"Show")</formula>
    </cfRule>
  </conditionalFormatting>
  <conditionalFormatting sqref="F22">
    <cfRule type="expression" dxfId="10" priority="7">
      <formula>AND($C$8&gt;=2025,$I$2&lt;&gt;"Show")</formula>
    </cfRule>
  </conditionalFormatting>
  <conditionalFormatting sqref="B49:F57">
    <cfRule type="expression" dxfId="9" priority="6">
      <formula>AND($C$8&gt;=2025,$I$2&lt;&gt;"Show")</formula>
    </cfRule>
  </conditionalFormatting>
  <conditionalFormatting sqref="D21">
    <cfRule type="expression" dxfId="8" priority="5">
      <formula>AND($C$8&gt;=1992,$I$2&lt;&gt;"Show")</formula>
    </cfRule>
  </conditionalFormatting>
  <conditionalFormatting sqref="D22">
    <cfRule type="expression" dxfId="7" priority="4">
      <formula>AND($C$8&gt;=1992,$I$2&lt;&gt;"Show")</formula>
    </cfRule>
  </conditionalFormatting>
  <conditionalFormatting sqref="E21">
    <cfRule type="expression" dxfId="6" priority="3">
      <formula>AND($C$8&gt;=2014,$I$2&lt;&gt;"Show")</formula>
    </cfRule>
  </conditionalFormatting>
  <conditionalFormatting sqref="E22">
    <cfRule type="expression" dxfId="5" priority="2">
      <formula>AND($C$8&gt;=2014,$I$2&lt;&gt;"Show")</formula>
    </cfRule>
  </conditionalFormatting>
  <conditionalFormatting sqref="B77:G78">
    <cfRule type="expression" dxfId="4" priority="1">
      <formula>AND(OR($C$8=0,$C$8=""),$I$2&lt;&gt;"Show")</formula>
    </cfRule>
  </conditionalFormatting>
  <dataValidations xWindow="129" yWindow="443" count="16">
    <dataValidation allowBlank="1" showInputMessage="1" showErrorMessage="1" prompt="Entrez votre nom" sqref="C5:E5"/>
    <dataValidation type="whole" showInputMessage="1" showErrorMessage="1" prompt="Entrez l'année seulement  (AAAA)" sqref="D25">
      <formula1>1940</formula1>
      <formula2>2100</formula2>
    </dataValidation>
    <dataValidation type="whole" allowBlank="1" showInputMessage="1" showErrorMessage="1" prompt="Entrez le mois seulement  (MM)" sqref="E25">
      <formula1>1</formula1>
      <formula2>12</formula2>
    </dataValidation>
    <dataValidation type="whole" allowBlank="1" showInputMessage="1" showErrorMessage="1" prompt="Entrez le jour" sqref="F25:G25">
      <formula1>1</formula1>
      <formula2>31</formula2>
    </dataValidation>
    <dataValidation type="whole" operator="greaterThan" allowBlank="1" showInputMessage="1" showErrorMessage="1" error="Note: Fonctionne pour les dates de retraite prévue 2014 et après." prompt="Entrez l'année de la date que vous aimeriez prendre votre retraite._x000a_Sinon entrez l'année de la date normale de retaite." sqref="C28">
      <formula1>2013</formula1>
    </dataValidation>
    <dataValidation allowBlank="1" showInputMessage="1" showErrorMessage="1" prompt="Ce doit toujours être le premier du mois." sqref="F24:G24 E8:E10 D9:D10"/>
    <dataValidation type="whole" allowBlank="1" showInputMessage="1" showErrorMessage="1" prompt="Entrer l'année : (AAAA)_x000a_Voir la dernière page de votre relevé dans la sections « Renseignements personnels » " sqref="D24 C8:C10">
      <formula1>1940</formula1>
      <formula2>2100</formula2>
    </dataValidation>
    <dataValidation type="whole" allowBlank="1" showInputMessage="1" showErrorMessage="1" prompt="Entrez le mois de la date que vous voulez prendre votre retraite" sqref="D28">
      <formula1>1</formula1>
      <formula2>12</formula2>
    </dataValidation>
    <dataValidation type="decimal" allowBlank="1" showInputMessage="1" showErrorMessage="1" prompt="Voir la page 2 de votre relevé dans la section « Vos droits »._x000a__x000a_Entrez nombre d'années. _x000a__x000a_" sqref="C22">
      <formula1>0</formula1>
      <formula2>40</formula2>
    </dataValidation>
    <dataValidation type="whole" allowBlank="1" showInputMessage="1" showErrorMessage="1" prompt="Entrer le mois :  (MM)_x000a_Voir la dernière page de votre relevé dans la sections « Renseignements personnels » " sqref="E24 D8">
      <formula1>1</formula1>
      <formula2>12</formula2>
    </dataValidation>
    <dataValidation type="decimal" allowBlank="1" showInputMessage="1" showErrorMessage="1" prompt="Voir la page 2 de votre relevé dans la section « Vos droits »_x000a_Entrez nombre d'années. _x000a_" sqref="B22">
      <formula1>0</formula1>
      <formula2>40</formula2>
    </dataValidation>
    <dataValidation type="list" allowBlank="1" showInputMessage="1" showErrorMessage="1" promptTitle="% augmentation de l'échelle" prompt="Entrez un pourcentage possible d'augmentation de salaire. L'augmentation est sur une base annuelle donc il faut ajuster s'il y en a deux. Si vous pensez que votre salaire n'augmentera plus au cours des prochaines années, laissez à 0%." sqref="D15">
      <formula1>$N$5:$N$23</formula1>
    </dataValidation>
    <dataValidation type="list" allowBlank="1" showInputMessage="1" showErrorMessage="1" sqref="I2">
      <formula1>"Show,Hide"</formula1>
    </dataValidation>
    <dataValidation allowBlank="1" showInputMessage="1" showErrorMessage="1" prompt="Vous devez compléter tous les champs en bleu._x000a__x000a_Il vous faudra votre dernier relevé de l'Assomption Vie ainsi que le montant de votre salaire de base des trois dernières années._x000a_" sqref="A1:A3"/>
    <dataValidation type="decimal" allowBlank="1" showInputMessage="1" showErrorMessage="1" sqref="E12:E13">
      <formula1>0</formula1>
      <formula2>1000000</formula2>
    </dataValidation>
    <dataValidation type="decimal" allowBlank="1" showInputMessage="1" showErrorMessage="1" prompt="Voir la page 2 de votre relevé dans la section « Vos droits »._x000a__x000a_Entrez nombre d'années. _x000a_" sqref="D22:G22">
      <formula1>0</formula1>
      <formula2>40</formula2>
    </dataValidation>
  </dataValidations>
  <printOptions horizontalCentered="1"/>
  <pageMargins left="0.75" right="0.75" top="1" bottom="1" header="0.5" footer="0.5"/>
  <pageSetup scale="49" orientation="portrait" r:id="rId1"/>
  <headerFooter alignWithMargins="0">
    <oddFooter>&amp;L&amp;D&amp;R&amp;Z&amp;F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M55"/>
  <sheetViews>
    <sheetView zoomScaleNormal="100" workbookViewId="0">
      <selection activeCell="C30" sqref="C30"/>
    </sheetView>
  </sheetViews>
  <sheetFormatPr defaultColWidth="11.42578125" defaultRowHeight="12.75" x14ac:dyDescent="0.2"/>
  <cols>
    <col min="1" max="1" width="12.7109375" customWidth="1"/>
    <col min="2" max="2" width="15.42578125" customWidth="1"/>
    <col min="3" max="3" width="18.28515625" bestFit="1" customWidth="1"/>
    <col min="4" max="4" width="23.85546875" customWidth="1"/>
    <col min="5" max="7" width="16.42578125" customWidth="1"/>
    <col min="9" max="9" width="17" customWidth="1"/>
    <col min="10" max="10" width="15.85546875" customWidth="1"/>
    <col min="13" max="13" width="14.85546875" bestFit="1" customWidth="1"/>
    <col min="14" max="14" width="20" customWidth="1"/>
  </cols>
  <sheetData>
    <row r="2" spans="1:13" x14ac:dyDescent="0.2">
      <c r="E2" s="1">
        <f>MIN(2%,Data!D15)</f>
        <v>0.02</v>
      </c>
      <c r="F2" s="1"/>
      <c r="G2" s="1"/>
    </row>
    <row r="3" spans="1:13" x14ac:dyDescent="0.2">
      <c r="A3" t="s">
        <v>1</v>
      </c>
      <c r="B3" t="s">
        <v>2</v>
      </c>
      <c r="C3" t="s">
        <v>4</v>
      </c>
      <c r="D3" s="4" t="s">
        <v>6</v>
      </c>
      <c r="E3" t="s">
        <v>3</v>
      </c>
      <c r="F3" s="4" t="s">
        <v>63</v>
      </c>
      <c r="H3" s="13" t="s">
        <v>28</v>
      </c>
    </row>
    <row r="4" spans="1:13" x14ac:dyDescent="0.2">
      <c r="A4" s="18">
        <f>+MAX(tablemax[Année])-3</f>
        <v>2022</v>
      </c>
      <c r="B4" s="3" t="e">
        <f>+VLOOKUP($A4,$L$7:$M$11,2,0)</f>
        <v>#N/A</v>
      </c>
      <c r="C4" s="2"/>
      <c r="D4" s="2"/>
      <c r="E4" s="3">
        <f>+VLOOKUP(A4,tablemax[],3,0)</f>
        <v>228000</v>
      </c>
      <c r="F4" s="124" t="e">
        <f>ROUND(IF(OR(A4&gt;YEAR($M$18),A4&lt;YEAR($M$17)),0,YEARFRAC(MAX(DATE(A4,1,1),$M$17),MIN(DATE(A4,12,31),$M$18),0)),8)</f>
        <v>#NUM!</v>
      </c>
      <c r="G4" s="3"/>
    </row>
    <row r="5" spans="1:13" x14ac:dyDescent="0.2">
      <c r="A5">
        <f>+A4+1</f>
        <v>2023</v>
      </c>
      <c r="B5" s="3" t="e">
        <f>+VLOOKUP($A5,$L$7:$M$11,2,0)</f>
        <v>#N/A</v>
      </c>
      <c r="C5" s="2"/>
      <c r="D5" s="2"/>
      <c r="E5" s="2">
        <f>+IFERROR(VLOOKUP(A5,tablemax[],3,0),E4*(1+$E$2))</f>
        <v>233778</v>
      </c>
      <c r="F5" s="124" t="e">
        <f t="shared" ref="F5:F55" si="0">ROUND(IF(OR(A5&gt;YEAR($M$18),A5&lt;YEAR($M$17)),0,YEARFRAC(MAX(DATE(A5,1,1),$M$17),MIN(DATE(A5,12,31),$M$18),0)),8)</f>
        <v>#NUM!</v>
      </c>
      <c r="G5" s="2"/>
      <c r="H5" t="s">
        <v>1</v>
      </c>
      <c r="I5" t="s">
        <v>29</v>
      </c>
      <c r="J5" t="s">
        <v>30</v>
      </c>
    </row>
    <row r="6" spans="1:13" ht="15" x14ac:dyDescent="0.25">
      <c r="A6">
        <f t="shared" ref="A6:A55" si="1">+A5+1</f>
        <v>2024</v>
      </c>
      <c r="B6" s="3" t="e">
        <f>+VLOOKUP($A6,$L$7:$M$11,2,0)</f>
        <v>#N/A</v>
      </c>
      <c r="C6" s="2"/>
      <c r="D6" s="2"/>
      <c r="E6" s="2">
        <f>+IFERROR(VLOOKUP(A6,tablemax[],3,0),E5*(1+$E$2))</f>
        <v>240666.66666666669</v>
      </c>
      <c r="F6" s="124" t="e">
        <f t="shared" si="0"/>
        <v>#NUM!</v>
      </c>
      <c r="G6" s="2"/>
      <c r="H6" s="11">
        <v>1990</v>
      </c>
      <c r="I6" s="12">
        <v>1722.22</v>
      </c>
      <c r="J6" s="19">
        <f>+tablemax[[#This Row],[Plafond des PD]]/0.02</f>
        <v>86111</v>
      </c>
      <c r="L6" s="120" t="s">
        <v>1</v>
      </c>
      <c r="M6" s="120" t="s">
        <v>10</v>
      </c>
    </row>
    <row r="7" spans="1:13" ht="15" x14ac:dyDescent="0.2">
      <c r="A7">
        <f t="shared" si="1"/>
        <v>2025</v>
      </c>
      <c r="B7" s="3" t="e">
        <f>IFERROR(VLOOKUP($A7,$L$7:$M$11,2,0),B6*(1+Data!$D$15))</f>
        <v>#N/A</v>
      </c>
      <c r="C7" s="2"/>
      <c r="D7" s="2"/>
      <c r="E7" s="2">
        <f>+IFERROR(VLOOKUP(A7,tablemax[],3,0),E6*(1+$E$2))</f>
        <v>250444.66666666669</v>
      </c>
      <c r="F7" s="124" t="e">
        <f t="shared" si="0"/>
        <v>#NUM!</v>
      </c>
      <c r="G7" s="2"/>
      <c r="H7" s="11">
        <v>1991</v>
      </c>
      <c r="I7" s="12">
        <v>1722.22</v>
      </c>
      <c r="J7" s="19">
        <f>+tablemax[[#This Row],[Plafond des PD]]/0.02</f>
        <v>86111</v>
      </c>
      <c r="L7" s="121">
        <f>+L8-1</f>
        <v>-4</v>
      </c>
      <c r="M7" s="122" t="e">
        <f>+IF(L7=Data!$S$5,Data!$T$5,M8/(1+Data!$T$7))</f>
        <v>#DIV/0!</v>
      </c>
    </row>
    <row r="8" spans="1:13" ht="15" x14ac:dyDescent="0.2">
      <c r="A8">
        <f>+A7+1</f>
        <v>2026</v>
      </c>
      <c r="B8" s="3" t="e">
        <f>IFERROR(VLOOKUP($A8,$L$7:$M$11,2,0),B7*(1+Data!$D$15))</f>
        <v>#N/A</v>
      </c>
      <c r="C8" s="2"/>
      <c r="D8" s="2"/>
      <c r="E8" s="2">
        <f>+IFERROR(VLOOKUP(A8,tablemax[],3,0),E7*(1+$E$2))</f>
        <v>255453.56000000003</v>
      </c>
      <c r="F8" s="124" t="e">
        <f t="shared" si="0"/>
        <v>#NUM!</v>
      </c>
      <c r="G8" s="2"/>
      <c r="H8" s="11">
        <v>1992</v>
      </c>
      <c r="I8" s="12">
        <v>1722.22</v>
      </c>
      <c r="J8" s="19">
        <f>+tablemax[[#This Row],[Plafond des PD]]/0.02</f>
        <v>86111</v>
      </c>
      <c r="L8" s="121">
        <f>+L9-1</f>
        <v>-3</v>
      </c>
      <c r="M8" s="122" t="e">
        <f>+IF(L8=Data!$S$5,Data!$T$5,M9/(1+Data!$T$7))</f>
        <v>#DIV/0!</v>
      </c>
    </row>
    <row r="9" spans="1:13" ht="15" x14ac:dyDescent="0.2">
      <c r="A9">
        <f t="shared" si="1"/>
        <v>2027</v>
      </c>
      <c r="B9" s="3" t="e">
        <f>IFERROR(VLOOKUP($A9,$L$7:$M$11,2,0),B8*(1+Data!$D$15))</f>
        <v>#N/A</v>
      </c>
      <c r="C9" s="2"/>
      <c r="D9" s="2"/>
      <c r="E9" s="2">
        <f>+IFERROR(VLOOKUP(A9,tablemax[],3,0),E8*(1+$E$2))</f>
        <v>260562.63120000003</v>
      </c>
      <c r="F9" s="124" t="e">
        <f t="shared" si="0"/>
        <v>#NUM!</v>
      </c>
      <c r="G9" s="2"/>
      <c r="H9" s="11">
        <v>1993</v>
      </c>
      <c r="I9" s="12">
        <v>1722.22</v>
      </c>
      <c r="J9" s="19">
        <f>+tablemax[[#This Row],[Plafond des PD]]/0.02</f>
        <v>86111</v>
      </c>
      <c r="L9" s="121">
        <f>+L10-1</f>
        <v>-2</v>
      </c>
      <c r="M9" s="122" t="e">
        <f>+IF(L9=Data!$S$5,Data!$T$5,M10/(1+Data!$T$7))</f>
        <v>#DIV/0!</v>
      </c>
    </row>
    <row r="10" spans="1:13" ht="15" x14ac:dyDescent="0.2">
      <c r="A10">
        <f t="shared" si="1"/>
        <v>2028</v>
      </c>
      <c r="B10" s="3" t="e">
        <f>IFERROR(VLOOKUP($A10,$L$7:$M$11,2,0),B9*(1+Data!$D$15))</f>
        <v>#N/A</v>
      </c>
      <c r="C10" s="2"/>
      <c r="D10" s="2"/>
      <c r="E10" s="2">
        <f>+IFERROR(VLOOKUP(A10,tablemax[],3,0),E9*(1+$E$2))</f>
        <v>265773.88382400002</v>
      </c>
      <c r="F10" s="124" t="e">
        <f t="shared" si="0"/>
        <v>#NUM!</v>
      </c>
      <c r="G10" s="2"/>
      <c r="H10" s="11">
        <v>1994</v>
      </c>
      <c r="I10" s="12">
        <v>1722.22</v>
      </c>
      <c r="J10" s="19">
        <f>+tablemax[[#This Row],[Plafond des PD]]/0.02</f>
        <v>86111</v>
      </c>
      <c r="L10" s="121">
        <f>+L11-1</f>
        <v>-1</v>
      </c>
      <c r="M10" s="122">
        <f>+IF(L10=Data!$S$5,Data!$T$5,M11/(1+Data!$T$7))</f>
        <v>0</v>
      </c>
    </row>
    <row r="11" spans="1:13" ht="15" x14ac:dyDescent="0.2">
      <c r="A11">
        <f t="shared" si="1"/>
        <v>2029</v>
      </c>
      <c r="B11" s="3" t="e">
        <f>IFERROR(VLOOKUP($A11,$L$7:$M$11,2,0),B10*(1+Data!$D$15))</f>
        <v>#N/A</v>
      </c>
      <c r="C11" s="2"/>
      <c r="D11" s="2"/>
      <c r="E11" s="2">
        <f>+IFERROR(VLOOKUP(A11,tablemax[],3,0),E10*(1+$E$2))</f>
        <v>271089.36150048004</v>
      </c>
      <c r="F11" s="124" t="e">
        <f t="shared" si="0"/>
        <v>#NUM!</v>
      </c>
      <c r="G11" s="2"/>
      <c r="H11" s="11">
        <v>1995</v>
      </c>
      <c r="I11" s="12">
        <v>1722.22</v>
      </c>
      <c r="J11" s="19">
        <f>+tablemax[[#This Row],[Plafond des PD]]/0.02</f>
        <v>86111</v>
      </c>
      <c r="L11" s="121">
        <f>Data!S6</f>
        <v>0</v>
      </c>
      <c r="M11" s="122">
        <f>Data!T6</f>
        <v>0</v>
      </c>
    </row>
    <row r="12" spans="1:13" x14ac:dyDescent="0.2">
      <c r="A12">
        <f t="shared" si="1"/>
        <v>2030</v>
      </c>
      <c r="B12" s="3" t="e">
        <f>IFERROR(VLOOKUP($A12,$L$7:$M$11,2,0),B11*(1+Data!$D$15))</f>
        <v>#N/A</v>
      </c>
      <c r="C12" s="2"/>
      <c r="D12" s="2"/>
      <c r="E12" s="2">
        <f>+IFERROR(VLOOKUP(A12,tablemax[],3,0),E11*(1+$E$2))</f>
        <v>276511.14873048966</v>
      </c>
      <c r="F12" s="124" t="e">
        <f t="shared" si="0"/>
        <v>#NUM!</v>
      </c>
      <c r="G12" s="2"/>
      <c r="H12" s="11">
        <v>1996</v>
      </c>
      <c r="I12" s="12">
        <v>1722.22</v>
      </c>
      <c r="J12" s="19">
        <f>+tablemax[[#This Row],[Plafond des PD]]/0.02</f>
        <v>86111</v>
      </c>
    </row>
    <row r="13" spans="1:13" x14ac:dyDescent="0.2">
      <c r="A13">
        <f t="shared" si="1"/>
        <v>2031</v>
      </c>
      <c r="B13" s="3" t="e">
        <f>IFERROR(VLOOKUP($A13,$L$7:$M$11,2,0),B12*(1+Data!$D$15))</f>
        <v>#N/A</v>
      </c>
      <c r="C13" s="2"/>
      <c r="D13" s="2"/>
      <c r="E13" s="2">
        <f>+IFERROR(VLOOKUP(A13,tablemax[],3,0),E12*(1+$E$2))</f>
        <v>282041.37170509947</v>
      </c>
      <c r="F13" s="124" t="e">
        <f t="shared" si="0"/>
        <v>#NUM!</v>
      </c>
      <c r="G13" s="2"/>
      <c r="H13" s="11">
        <v>1997</v>
      </c>
      <c r="I13" s="12">
        <v>1722.22</v>
      </c>
      <c r="J13" s="19">
        <f>+tablemax[[#This Row],[Plafond des PD]]/0.02</f>
        <v>86111</v>
      </c>
    </row>
    <row r="14" spans="1:13" x14ac:dyDescent="0.2">
      <c r="A14">
        <f t="shared" si="1"/>
        <v>2032</v>
      </c>
      <c r="B14" s="3" t="e">
        <f>IFERROR(VLOOKUP($A14,$L$7:$M$11,2,0),B13*(1+Data!$D$15))</f>
        <v>#N/A</v>
      </c>
      <c r="C14" s="2"/>
      <c r="D14" s="2"/>
      <c r="E14" s="2">
        <f>+IFERROR(VLOOKUP(A14,tablemax[],3,0),E13*(1+$E$2))</f>
        <v>287682.19913920149</v>
      </c>
      <c r="F14" s="124" t="e">
        <f t="shared" si="0"/>
        <v>#NUM!</v>
      </c>
      <c r="G14" s="2"/>
      <c r="H14" s="11">
        <v>1998</v>
      </c>
      <c r="I14" s="12">
        <v>1722.22</v>
      </c>
      <c r="J14" s="19">
        <f>+tablemax[[#This Row],[Plafond des PD]]/0.02</f>
        <v>86111</v>
      </c>
    </row>
    <row r="15" spans="1:13" x14ac:dyDescent="0.2">
      <c r="A15">
        <f t="shared" si="1"/>
        <v>2033</v>
      </c>
      <c r="B15" s="3" t="e">
        <f>IFERROR(VLOOKUP($A15,$L$7:$M$11,2,0),B14*(1+Data!$D$15))</f>
        <v>#N/A</v>
      </c>
      <c r="C15" s="2"/>
      <c r="D15" s="2"/>
      <c r="E15" s="2">
        <f>+IFERROR(VLOOKUP(A15,tablemax[],3,0),E14*(1+$E$2))</f>
        <v>293435.8431219855</v>
      </c>
      <c r="F15" s="124" t="e">
        <f t="shared" si="0"/>
        <v>#NUM!</v>
      </c>
      <c r="G15" s="2"/>
      <c r="H15" s="11">
        <v>1999</v>
      </c>
      <c r="I15" s="12">
        <v>1722.22</v>
      </c>
      <c r="J15" s="19">
        <f>+tablemax[[#This Row],[Plafond des PD]]/0.02</f>
        <v>86111</v>
      </c>
    </row>
    <row r="16" spans="1:13" x14ac:dyDescent="0.2">
      <c r="A16">
        <f t="shared" si="1"/>
        <v>2034</v>
      </c>
      <c r="B16" s="3" t="e">
        <f>IFERROR(VLOOKUP($A16,$L$7:$M$11,2,0),B15*(1+Data!$D$15))</f>
        <v>#N/A</v>
      </c>
      <c r="C16" s="2"/>
      <c r="D16" s="2"/>
      <c r="E16" s="2">
        <f>+IFERROR(VLOOKUP(A16,tablemax[],3,0),E15*(1+$E$2))</f>
        <v>299304.5599844252</v>
      </c>
      <c r="F16" s="124" t="e">
        <f t="shared" si="0"/>
        <v>#NUM!</v>
      </c>
      <c r="G16" s="2"/>
      <c r="H16" s="11">
        <v>2000</v>
      </c>
      <c r="I16" s="12">
        <v>1722.22</v>
      </c>
      <c r="J16" s="19">
        <f>+tablemax[[#This Row],[Plafond des PD]]/0.02</f>
        <v>86111</v>
      </c>
    </row>
    <row r="17" spans="1:13" x14ac:dyDescent="0.2">
      <c r="A17">
        <f t="shared" si="1"/>
        <v>2035</v>
      </c>
      <c r="B17" s="3" t="e">
        <f>IFERROR(VLOOKUP($A17,$L$7:$M$11,2,0),B16*(1+Data!$D$15))</f>
        <v>#N/A</v>
      </c>
      <c r="C17" s="2"/>
      <c r="D17" s="2"/>
      <c r="E17" s="2">
        <f>+IFERROR(VLOOKUP(A17,tablemax[],3,0),E16*(1+$E$2))</f>
        <v>305290.6511841137</v>
      </c>
      <c r="F17" s="124" t="e">
        <f t="shared" si="0"/>
        <v>#NUM!</v>
      </c>
      <c r="G17" s="2"/>
      <c r="H17" s="11">
        <v>2001</v>
      </c>
      <c r="I17" s="12">
        <v>1722.22</v>
      </c>
      <c r="J17" s="19">
        <f>+tablemax[[#This Row],[Plafond des PD]]/0.02</f>
        <v>86111</v>
      </c>
      <c r="L17" s="4" t="s">
        <v>64</v>
      </c>
      <c r="M17" s="123" t="e">
        <f>+EDATE(M18,-36)</f>
        <v>#NUM!</v>
      </c>
    </row>
    <row r="18" spans="1:13" x14ac:dyDescent="0.2">
      <c r="A18">
        <f t="shared" si="1"/>
        <v>2036</v>
      </c>
      <c r="B18" s="3" t="e">
        <f>IFERROR(VLOOKUP($A18,$L$7:$M$11,2,0),B17*(1+Data!$D$15))</f>
        <v>#N/A</v>
      </c>
      <c r="C18" s="2"/>
      <c r="D18" s="2"/>
      <c r="E18" s="2">
        <f>+IFERROR(VLOOKUP(A18,tablemax[],3,0),E17*(1+$E$2))</f>
        <v>311396.46420779597</v>
      </c>
      <c r="F18" s="124" t="e">
        <f t="shared" si="0"/>
        <v>#NUM!</v>
      </c>
      <c r="G18" s="2"/>
      <c r="H18" s="11">
        <v>2002</v>
      </c>
      <c r="I18" s="12">
        <v>1722.22</v>
      </c>
      <c r="J18" s="19">
        <f>+tablemax[[#This Row],[Plafond des PD]]/0.02</f>
        <v>86111</v>
      </c>
      <c r="L18" s="4" t="s">
        <v>65</v>
      </c>
      <c r="M18" s="123" t="e">
        <f>DATE(Data!C28,Data!D28,1)</f>
        <v>#NUM!</v>
      </c>
    </row>
    <row r="19" spans="1:13" x14ac:dyDescent="0.2">
      <c r="A19">
        <f t="shared" si="1"/>
        <v>2037</v>
      </c>
      <c r="B19" s="3" t="e">
        <f>IFERROR(VLOOKUP($A19,$L$7:$M$11,2,0),B18*(1+Data!$D$15))</f>
        <v>#N/A</v>
      </c>
      <c r="C19" s="2"/>
      <c r="D19" s="2"/>
      <c r="E19" s="2">
        <f>+IFERROR(VLOOKUP(A19,tablemax[],3,0),E18*(1+$E$2))</f>
        <v>317624.39349195192</v>
      </c>
      <c r="F19" s="124" t="e">
        <f t="shared" si="0"/>
        <v>#NUM!</v>
      </c>
      <c r="G19" s="2"/>
      <c r="H19" s="11">
        <v>2003</v>
      </c>
      <c r="I19" s="12">
        <v>1722.22</v>
      </c>
      <c r="J19" s="19">
        <f>+tablemax[[#This Row],[Plafond des PD]]/0.02</f>
        <v>86111</v>
      </c>
    </row>
    <row r="20" spans="1:13" x14ac:dyDescent="0.2">
      <c r="A20">
        <f t="shared" si="1"/>
        <v>2038</v>
      </c>
      <c r="B20" s="3" t="e">
        <f>IFERROR(VLOOKUP($A20,$L$7:$M$11,2,0),B19*(1+Data!$D$15))</f>
        <v>#N/A</v>
      </c>
      <c r="C20" s="2"/>
      <c r="D20" s="2"/>
      <c r="E20" s="2">
        <f>+IFERROR(VLOOKUP(A20,tablemax[],3,0),E19*(1+$E$2))</f>
        <v>323976.88136179099</v>
      </c>
      <c r="F20" s="124" t="e">
        <f t="shared" si="0"/>
        <v>#NUM!</v>
      </c>
      <c r="G20" s="2"/>
      <c r="H20" s="11">
        <v>2004</v>
      </c>
      <c r="I20" s="12">
        <v>1833.33</v>
      </c>
      <c r="J20" s="19">
        <f>+tablemax[[#This Row],[Plafond des PD]]/0.02</f>
        <v>91666.5</v>
      </c>
      <c r="L20" s="4" t="s">
        <v>66</v>
      </c>
      <c r="M20" s="125" t="e">
        <f>ROUND(SUMPRODUCT(B4:B55,F4:F55)/SUM(F4:F55),2)</f>
        <v>#N/A</v>
      </c>
    </row>
    <row r="21" spans="1:13" x14ac:dyDescent="0.2">
      <c r="A21">
        <f t="shared" si="1"/>
        <v>2039</v>
      </c>
      <c r="B21" s="3" t="e">
        <f>IFERROR(VLOOKUP($A21,$L$7:$M$11,2,0),B20*(1+Data!$D$15))</f>
        <v>#N/A</v>
      </c>
      <c r="C21" s="2"/>
      <c r="D21" s="2"/>
      <c r="E21" s="2">
        <f>+IFERROR(VLOOKUP(A21,tablemax[],3,0),E20*(1+$E$2))</f>
        <v>330456.4189890268</v>
      </c>
      <c r="F21" s="124" t="e">
        <f t="shared" si="0"/>
        <v>#NUM!</v>
      </c>
      <c r="G21" s="2"/>
      <c r="H21" s="11">
        <v>2005</v>
      </c>
      <c r="I21" s="12">
        <v>2000</v>
      </c>
      <c r="J21" s="19">
        <f>+tablemax[[#This Row],[Plafond des PD]]/0.02</f>
        <v>100000</v>
      </c>
      <c r="L21" s="4" t="s">
        <v>67</v>
      </c>
      <c r="M21" t="e">
        <f>ROUND(INDEX($E$4:$E$55,MATCH(YEAR(M18)+IF(MONTH(M18)=1,-1,0),$A$4:$A$55,0),1),2)</f>
        <v>#NUM!</v>
      </c>
    </row>
    <row r="22" spans="1:13" x14ac:dyDescent="0.2">
      <c r="A22">
        <f t="shared" si="1"/>
        <v>2040</v>
      </c>
      <c r="B22" s="3" t="e">
        <f>IFERROR(VLOOKUP($A22,$L$7:$M$11,2,0),B21*(1+Data!$D$15))</f>
        <v>#N/A</v>
      </c>
      <c r="C22" s="2"/>
      <c r="D22" s="2"/>
      <c r="E22" s="2">
        <f>+IFERROR(VLOOKUP(A22,tablemax[],3,0),E21*(1+$E$2))</f>
        <v>337065.54736880737</v>
      </c>
      <c r="F22" s="124" t="e">
        <f t="shared" si="0"/>
        <v>#NUM!</v>
      </c>
      <c r="G22" s="2"/>
      <c r="H22" s="11">
        <v>2006</v>
      </c>
      <c r="I22" s="12">
        <v>2111.11</v>
      </c>
      <c r="J22" s="19">
        <f>+tablemax[[#This Row],[Plafond des PD]]/0.02</f>
        <v>105555.5</v>
      </c>
    </row>
    <row r="23" spans="1:13" x14ac:dyDescent="0.2">
      <c r="A23">
        <f t="shared" si="1"/>
        <v>2041</v>
      </c>
      <c r="B23" s="3" t="e">
        <f>IFERROR(VLOOKUP($A23,$L$7:$M$11,2,0),B22*(1+Data!$D$15))</f>
        <v>#N/A</v>
      </c>
      <c r="C23" s="2"/>
      <c r="D23" s="2"/>
      <c r="E23" s="2">
        <f>+IFERROR(VLOOKUP(A23,tablemax[],3,0),E22*(1+$E$2))</f>
        <v>343806.8583161835</v>
      </c>
      <c r="F23" s="124" t="e">
        <f t="shared" si="0"/>
        <v>#NUM!</v>
      </c>
      <c r="G23" s="2"/>
      <c r="H23" s="11">
        <v>2007</v>
      </c>
      <c r="I23" s="12">
        <v>2222.2199999999998</v>
      </c>
      <c r="J23" s="19">
        <f>+tablemax[[#This Row],[Plafond des PD]]/0.02</f>
        <v>111110.99999999999</v>
      </c>
    </row>
    <row r="24" spans="1:13" x14ac:dyDescent="0.2">
      <c r="A24">
        <f t="shared" si="1"/>
        <v>2042</v>
      </c>
      <c r="B24" s="3" t="e">
        <f>IFERROR(VLOOKUP($A24,$L$7:$M$11,2,0),B23*(1+Data!$D$15))</f>
        <v>#N/A</v>
      </c>
      <c r="C24" s="2"/>
      <c r="D24" s="2"/>
      <c r="E24" s="2">
        <f>+IFERROR(VLOOKUP(A24,tablemax[],3,0),E23*(1+$E$2))</f>
        <v>350682.99548250716</v>
      </c>
      <c r="F24" s="124" t="e">
        <f t="shared" si="0"/>
        <v>#NUM!</v>
      </c>
      <c r="G24" s="2"/>
      <c r="H24" s="11">
        <v>2008</v>
      </c>
      <c r="I24" s="12">
        <v>2333.33</v>
      </c>
      <c r="J24" s="19">
        <f>+tablemax[[#This Row],[Plafond des PD]]/0.02</f>
        <v>116666.5</v>
      </c>
    </row>
    <row r="25" spans="1:13" x14ac:dyDescent="0.2">
      <c r="A25">
        <f t="shared" si="1"/>
        <v>2043</v>
      </c>
      <c r="B25" s="3" t="e">
        <f>IFERROR(VLOOKUP($A25,$L$7:$M$11,2,0),B24*(1+Data!$D$15))</f>
        <v>#N/A</v>
      </c>
      <c r="C25" s="2"/>
      <c r="D25" s="2"/>
      <c r="E25" s="2">
        <f>+IFERROR(VLOOKUP(A25,tablemax[],3,0),E24*(1+$E$2))</f>
        <v>357696.65539215732</v>
      </c>
      <c r="F25" s="124" t="e">
        <f t="shared" si="0"/>
        <v>#NUM!</v>
      </c>
      <c r="G25" s="2"/>
      <c r="H25" s="11">
        <v>2009</v>
      </c>
      <c r="I25" s="12">
        <v>2444.44</v>
      </c>
      <c r="J25" s="19">
        <f>+tablemax[[#This Row],[Plafond des PD]]/0.02</f>
        <v>122222</v>
      </c>
      <c r="M25" s="4"/>
    </row>
    <row r="26" spans="1:13" x14ac:dyDescent="0.2">
      <c r="A26">
        <f t="shared" si="1"/>
        <v>2044</v>
      </c>
      <c r="B26" s="3" t="e">
        <f>IFERROR(VLOOKUP($A26,$L$7:$M$11,2,0),B25*(1+Data!$D$15))</f>
        <v>#N/A</v>
      </c>
      <c r="C26" s="2"/>
      <c r="D26" s="2"/>
      <c r="E26" s="2">
        <f>+IFERROR(VLOOKUP(A26,tablemax[],3,0),E25*(1+$E$2))</f>
        <v>364850.58850000048</v>
      </c>
      <c r="F26" s="124" t="e">
        <f t="shared" si="0"/>
        <v>#NUM!</v>
      </c>
      <c r="G26" s="2"/>
      <c r="H26" s="11">
        <v>2010</v>
      </c>
      <c r="I26" s="12">
        <v>2494.44</v>
      </c>
      <c r="J26" s="19">
        <f>+tablemax[[#This Row],[Plafond des PD]]/0.02</f>
        <v>124722</v>
      </c>
    </row>
    <row r="27" spans="1:13" x14ac:dyDescent="0.2">
      <c r="A27">
        <f t="shared" si="1"/>
        <v>2045</v>
      </c>
      <c r="B27" s="3" t="e">
        <f>IFERROR(VLOOKUP($A27,$L$7:$M$11,2,0),B26*(1+Data!$D$15))</f>
        <v>#N/A</v>
      </c>
      <c r="C27" s="2"/>
      <c r="D27" s="2"/>
      <c r="E27" s="2">
        <f>+IFERROR(VLOOKUP(A27,tablemax[],3,0),E26*(1+$E$2))</f>
        <v>372147.60027000052</v>
      </c>
      <c r="F27" s="124" t="e">
        <f t="shared" si="0"/>
        <v>#NUM!</v>
      </c>
      <c r="G27" s="2"/>
      <c r="H27" s="11">
        <v>2011</v>
      </c>
      <c r="I27" s="12">
        <v>2552.2199999999998</v>
      </c>
      <c r="J27" s="19">
        <f>+tablemax[[#This Row],[Plafond des PD]]/0.02</f>
        <v>127610.99999999999</v>
      </c>
    </row>
    <row r="28" spans="1:13" x14ac:dyDescent="0.2">
      <c r="A28">
        <f t="shared" si="1"/>
        <v>2046</v>
      </c>
      <c r="B28" s="3" t="e">
        <f>IFERROR(VLOOKUP($A28,$L$7:$M$11,2,0),B27*(1+Data!$D$15))</f>
        <v>#N/A</v>
      </c>
      <c r="C28" s="2"/>
      <c r="D28" s="2"/>
      <c r="E28" s="2">
        <f>+IFERROR(VLOOKUP(A28,tablemax[],3,0),E27*(1+$E$2))</f>
        <v>379590.55227540055</v>
      </c>
      <c r="F28" s="124" t="e">
        <f t="shared" si="0"/>
        <v>#NUM!</v>
      </c>
      <c r="G28" s="2"/>
      <c r="H28" s="11">
        <v>2012</v>
      </c>
      <c r="I28" s="12">
        <v>2646.67</v>
      </c>
      <c r="J28" s="19">
        <f>+tablemax[[#This Row],[Plafond des PD]]/0.02</f>
        <v>132333.5</v>
      </c>
    </row>
    <row r="29" spans="1:13" x14ac:dyDescent="0.2">
      <c r="A29">
        <f t="shared" si="1"/>
        <v>2047</v>
      </c>
      <c r="B29" s="3" t="e">
        <f>IFERROR(VLOOKUP($A29,$L$7:$M$11,2,0),B28*(1+Data!$D$15))</f>
        <v>#N/A</v>
      </c>
      <c r="C29" s="2"/>
      <c r="D29" s="2"/>
      <c r="E29" s="2">
        <f>+IFERROR(VLOOKUP(A29,tablemax[],3,0),E28*(1+$E$2))</f>
        <v>387182.36332090857</v>
      </c>
      <c r="F29" s="124" t="e">
        <f t="shared" si="0"/>
        <v>#NUM!</v>
      </c>
      <c r="G29" s="2"/>
      <c r="H29" s="11">
        <v>2013</v>
      </c>
      <c r="I29" s="12">
        <v>2696.67</v>
      </c>
      <c r="J29" s="19">
        <f>+tablemax[[#This Row],[Plafond des PD]]/0.02</f>
        <v>134833.5</v>
      </c>
    </row>
    <row r="30" spans="1:13" x14ac:dyDescent="0.2">
      <c r="A30">
        <f t="shared" si="1"/>
        <v>2048</v>
      </c>
      <c r="B30" s="3" t="e">
        <f>IFERROR(VLOOKUP($A30,$L$7:$M$11,2,0),B29*(1+Data!$D$15))</f>
        <v>#N/A</v>
      </c>
      <c r="C30" s="2"/>
      <c r="D30" s="2"/>
      <c r="E30" s="2">
        <f>+IFERROR(VLOOKUP(A30,tablemax[],3,0),E29*(1+$E$2))</f>
        <v>394926.01058732672</v>
      </c>
      <c r="F30" s="124" t="e">
        <f t="shared" si="0"/>
        <v>#NUM!</v>
      </c>
      <c r="G30" s="2"/>
      <c r="H30" s="11">
        <v>2014</v>
      </c>
      <c r="I30" s="12">
        <v>2770</v>
      </c>
      <c r="J30" s="19">
        <f>+tablemax[[#This Row],[Plafond des PD]]/0.015*0.75</f>
        <v>138500</v>
      </c>
    </row>
    <row r="31" spans="1:13" x14ac:dyDescent="0.2">
      <c r="A31">
        <f t="shared" si="1"/>
        <v>2049</v>
      </c>
      <c r="B31" s="3" t="e">
        <f>IFERROR(VLOOKUP($A31,$L$7:$M$11,2,0),B30*(1+Data!$D$15))</f>
        <v>#N/A</v>
      </c>
      <c r="C31" s="2"/>
      <c r="D31" s="2"/>
      <c r="E31" s="2">
        <f>+IFERROR(VLOOKUP(A31,tablemax[],3,0),E30*(1+$E$2))</f>
        <v>402824.53079907328</v>
      </c>
      <c r="F31" s="124" t="e">
        <f t="shared" si="0"/>
        <v>#NUM!</v>
      </c>
      <c r="G31" s="2"/>
      <c r="H31" s="11">
        <v>2015</v>
      </c>
      <c r="I31" s="12">
        <v>2818.89</v>
      </c>
      <c r="J31" s="19">
        <f>+tablemax[[#This Row],[Plafond des PD]]/0.015*0.75</f>
        <v>140944.5</v>
      </c>
    </row>
    <row r="32" spans="1:13" x14ac:dyDescent="0.2">
      <c r="A32">
        <f t="shared" si="1"/>
        <v>2050</v>
      </c>
      <c r="B32" s="3" t="e">
        <f>IFERROR(VLOOKUP($A32,$L$7:$M$11,2,0),B31*(1+Data!$D$15))</f>
        <v>#N/A</v>
      </c>
      <c r="C32" s="2"/>
      <c r="D32" s="2"/>
      <c r="E32" s="2">
        <f>+IFERROR(VLOOKUP(A32,tablemax[],3,0),E31*(1+$E$2))</f>
        <v>410881.02141505474</v>
      </c>
      <c r="F32" s="124" t="e">
        <f t="shared" si="0"/>
        <v>#NUM!</v>
      </c>
      <c r="G32" s="2"/>
      <c r="H32" s="11">
        <v>2016</v>
      </c>
      <c r="I32" s="12">
        <v>2890</v>
      </c>
      <c r="J32" s="19">
        <f>+tablemax[[#This Row],[Plafond des PD]]/0.015*0.75</f>
        <v>144500</v>
      </c>
    </row>
    <row r="33" spans="1:10" x14ac:dyDescent="0.2">
      <c r="A33">
        <f t="shared" si="1"/>
        <v>2051</v>
      </c>
      <c r="B33" s="3" t="e">
        <f>IFERROR(VLOOKUP($A33,$L$7:$M$11,2,0),B32*(1+Data!$D$15))</f>
        <v>#N/A</v>
      </c>
      <c r="C33" s="2"/>
      <c r="D33" s="2"/>
      <c r="E33" s="2">
        <f>+IFERROR(VLOOKUP(A33,tablemax[],3,0),E32*(1+$E$2))</f>
        <v>419098.64184335584</v>
      </c>
      <c r="F33" s="124" t="e">
        <f t="shared" si="0"/>
        <v>#NUM!</v>
      </c>
      <c r="G33" s="2"/>
      <c r="H33" s="11">
        <v>2017</v>
      </c>
      <c r="I33" s="12">
        <v>2914.44</v>
      </c>
      <c r="J33" s="19">
        <f>+tablemax[[#This Row],[Plafond des PD]]/0.015*0.75</f>
        <v>145722</v>
      </c>
    </row>
    <row r="34" spans="1:10" x14ac:dyDescent="0.2">
      <c r="A34">
        <f t="shared" si="1"/>
        <v>2052</v>
      </c>
      <c r="B34" s="3" t="e">
        <f>IFERROR(VLOOKUP($A34,$L$7:$M$11,2,0),B33*(1+Data!$D$15))</f>
        <v>#N/A</v>
      </c>
      <c r="C34" s="2"/>
      <c r="D34" s="2"/>
      <c r="E34" s="2">
        <f>+IFERROR(VLOOKUP(A34,tablemax[],3,0),E33*(1+$E$2))</f>
        <v>427480.61468022299</v>
      </c>
      <c r="F34" s="124" t="e">
        <f t="shared" si="0"/>
        <v>#NUM!</v>
      </c>
      <c r="G34" s="2"/>
      <c r="H34" s="11">
        <v>2018</v>
      </c>
      <c r="I34" s="12">
        <v>2944.44</v>
      </c>
      <c r="J34" s="19">
        <f>+tablemax[[#This Row],[Plafond des PD]]/0.015*0.75</f>
        <v>147222</v>
      </c>
    </row>
    <row r="35" spans="1:10" x14ac:dyDescent="0.2">
      <c r="A35">
        <f t="shared" si="1"/>
        <v>2053</v>
      </c>
      <c r="B35" s="3" t="e">
        <f>IFERROR(VLOOKUP($A35,$L$7:$M$11,2,0),B34*(1+Data!$D$15))</f>
        <v>#N/A</v>
      </c>
      <c r="C35" s="2"/>
      <c r="D35" s="2"/>
      <c r="E35" s="2">
        <f>+IFERROR(VLOOKUP(A35,tablemax[],3,0),E34*(1+$E$2))</f>
        <v>436030.22697382746</v>
      </c>
      <c r="F35" s="124" t="e">
        <f t="shared" si="0"/>
        <v>#NUM!</v>
      </c>
      <c r="G35" s="2"/>
      <c r="H35" s="11">
        <v>2019</v>
      </c>
      <c r="I35" s="12">
        <v>3025.56</v>
      </c>
      <c r="J35" s="19">
        <f>+tablemax[[#This Row],[Plafond des PD]]/0.015*0.75</f>
        <v>151278</v>
      </c>
    </row>
    <row r="36" spans="1:10" x14ac:dyDescent="0.2">
      <c r="A36">
        <f t="shared" si="1"/>
        <v>2054</v>
      </c>
      <c r="B36" s="3" t="e">
        <f>IFERROR(VLOOKUP($A36,$L$7:$M$11,2,0),B35*(1+Data!$D$15))</f>
        <v>#N/A</v>
      </c>
      <c r="C36" s="2"/>
      <c r="D36" s="2"/>
      <c r="E36" s="2">
        <f>+IFERROR(VLOOKUP(A36,tablemax[],3,0),E35*(1+$E$2))</f>
        <v>444750.83151330403</v>
      </c>
      <c r="F36" s="124" t="e">
        <f t="shared" si="0"/>
        <v>#NUM!</v>
      </c>
      <c r="G36" s="2"/>
      <c r="H36" s="16">
        <v>2020</v>
      </c>
      <c r="I36" s="17">
        <v>3092.22</v>
      </c>
      <c r="J36" s="19">
        <f>+tablemax[[#This Row],[Plafond des PD]]/0.015*0.75</f>
        <v>154611</v>
      </c>
    </row>
    <row r="37" spans="1:10" x14ac:dyDescent="0.2">
      <c r="A37">
        <f t="shared" si="1"/>
        <v>2055</v>
      </c>
      <c r="B37" s="3" t="e">
        <f>IFERROR(VLOOKUP($A37,$L$7:$M$11,2,0),B36*(1+Data!$D$15))</f>
        <v>#N/A</v>
      </c>
      <c r="C37" s="2"/>
      <c r="D37" s="2"/>
      <c r="E37" s="2">
        <f>+IFERROR(VLOOKUP(A37,tablemax[],3,0),E36*(1+$E$2))</f>
        <v>453645.84814357013</v>
      </c>
      <c r="F37" s="124" t="e">
        <f t="shared" si="0"/>
        <v>#NUM!</v>
      </c>
      <c r="G37" s="2"/>
      <c r="H37" s="11">
        <v>2021</v>
      </c>
      <c r="I37" s="12">
        <v>3245.56</v>
      </c>
      <c r="J37" s="20">
        <f>+tablemax[[#This Row],[Plafond des PD]]/0.015</f>
        <v>216370.66666666666</v>
      </c>
    </row>
    <row r="38" spans="1:10" x14ac:dyDescent="0.2">
      <c r="A38">
        <f t="shared" si="1"/>
        <v>2056</v>
      </c>
      <c r="B38" s="3" t="e">
        <f>IFERROR(VLOOKUP($A38,$L$7:$M$11,2,0),B37*(1+Data!$D$15))</f>
        <v>#N/A</v>
      </c>
      <c r="C38" s="2"/>
      <c r="D38" s="2"/>
      <c r="E38" s="2">
        <f>+IFERROR(VLOOKUP(A38,tablemax[],3,0),E37*(1+$E$2))</f>
        <v>462718.76510644151</v>
      </c>
      <c r="F38" s="124" t="e">
        <f t="shared" si="0"/>
        <v>#NUM!</v>
      </c>
      <c r="G38" s="2"/>
      <c r="H38" s="11">
        <v>2022</v>
      </c>
      <c r="I38" s="12">
        <v>3420</v>
      </c>
      <c r="J38" s="20">
        <f>+tablemax[[#This Row],[Plafond des PD]]/0.015</f>
        <v>228000</v>
      </c>
    </row>
    <row r="39" spans="1:10" x14ac:dyDescent="0.2">
      <c r="A39">
        <f t="shared" si="1"/>
        <v>2057</v>
      </c>
      <c r="B39" s="3" t="e">
        <f>IFERROR(VLOOKUP($A39,$L$7:$M$11,2,0),B38*(1+Data!$D$15))</f>
        <v>#N/A</v>
      </c>
      <c r="C39" s="2"/>
      <c r="D39" s="2"/>
      <c r="E39" s="2">
        <f>+IFERROR(VLOOKUP(A39,tablemax[],3,0),E38*(1+$E$2))</f>
        <v>471973.14040857035</v>
      </c>
      <c r="F39" s="124" t="e">
        <f t="shared" si="0"/>
        <v>#NUM!</v>
      </c>
      <c r="G39" s="2"/>
      <c r="H39" s="11">
        <v>2023</v>
      </c>
      <c r="I39" s="12">
        <v>3506.67</v>
      </c>
      <c r="J39" s="20">
        <f>+tablemax[[#This Row],[Plafond des PD]]/0.015</f>
        <v>233778</v>
      </c>
    </row>
    <row r="40" spans="1:10" x14ac:dyDescent="0.2">
      <c r="A40">
        <f t="shared" si="1"/>
        <v>2058</v>
      </c>
      <c r="B40" s="3" t="e">
        <f>IFERROR(VLOOKUP($A40,$L$7:$M$11,2,0),B39*(1+Data!$D$15))</f>
        <v>#N/A</v>
      </c>
      <c r="C40" s="2"/>
      <c r="D40" s="2"/>
      <c r="E40" s="2">
        <f>+IFERROR(VLOOKUP(A40,tablemax[],3,0),E39*(1+$E$2))</f>
        <v>481412.60321674176</v>
      </c>
      <c r="F40" s="124" t="e">
        <f t="shared" si="0"/>
        <v>#NUM!</v>
      </c>
      <c r="G40" s="2"/>
      <c r="H40" s="11">
        <v>2024</v>
      </c>
      <c r="I40" s="12">
        <v>3610</v>
      </c>
      <c r="J40" s="20">
        <f>+tablemax[[#This Row],[Plafond des PD]]/0.015</f>
        <v>240666.66666666669</v>
      </c>
    </row>
    <row r="41" spans="1:10" x14ac:dyDescent="0.2">
      <c r="A41">
        <f t="shared" si="1"/>
        <v>2059</v>
      </c>
      <c r="B41" s="3" t="e">
        <f>IFERROR(VLOOKUP($A41,$L$7:$M$11,2,0),B40*(1+Data!$D$15))</f>
        <v>#N/A</v>
      </c>
      <c r="C41" s="2"/>
      <c r="D41" s="2"/>
      <c r="E41" s="2">
        <f>+IFERROR(VLOOKUP(A41,tablemax[],3,0),E40*(1+$E$2))</f>
        <v>491040.85528107663</v>
      </c>
      <c r="F41" s="124" t="e">
        <f t="shared" si="0"/>
        <v>#NUM!</v>
      </c>
      <c r="G41" s="2"/>
      <c r="H41" s="11">
        <v>2025</v>
      </c>
      <c r="I41" s="12">
        <v>3756.67</v>
      </c>
      <c r="J41" s="20">
        <f>+tablemax[[#This Row],[Plafond des PD]]/0.015</f>
        <v>250444.66666666669</v>
      </c>
    </row>
    <row r="42" spans="1:10" x14ac:dyDescent="0.2">
      <c r="A42">
        <f t="shared" si="1"/>
        <v>2060</v>
      </c>
      <c r="B42" s="3" t="e">
        <f>IFERROR(VLOOKUP($A42,$L$7:$M$11,2,0),B41*(1+Data!$D$15))</f>
        <v>#N/A</v>
      </c>
      <c r="C42" s="2"/>
      <c r="D42" s="2"/>
      <c r="E42" s="2">
        <f>+IFERROR(VLOOKUP(A42,tablemax[],3,0),E41*(1+$E$2))</f>
        <v>500861.67238669819</v>
      </c>
      <c r="F42" s="124" t="e">
        <f t="shared" si="0"/>
        <v>#NUM!</v>
      </c>
      <c r="G42" s="2"/>
    </row>
    <row r="43" spans="1:10" x14ac:dyDescent="0.2">
      <c r="A43">
        <f t="shared" si="1"/>
        <v>2061</v>
      </c>
      <c r="B43" s="3" t="e">
        <f>IFERROR(VLOOKUP($A43,$L$7:$M$11,2,0),B42*(1+Data!$D$15))</f>
        <v>#N/A</v>
      </c>
      <c r="C43" s="2"/>
      <c r="D43" s="2"/>
      <c r="E43" s="2">
        <f>+IFERROR(VLOOKUP(A43,tablemax[],3,0),E42*(1+$E$2))</f>
        <v>510878.90583443217</v>
      </c>
      <c r="F43" s="124" t="e">
        <f t="shared" si="0"/>
        <v>#NUM!</v>
      </c>
      <c r="G43" s="2"/>
    </row>
    <row r="44" spans="1:10" x14ac:dyDescent="0.2">
      <c r="A44">
        <f t="shared" si="1"/>
        <v>2062</v>
      </c>
      <c r="B44" s="3" t="e">
        <f>IFERROR(VLOOKUP($A44,$L$7:$M$11,2,0),B43*(1+Data!$D$15))</f>
        <v>#N/A</v>
      </c>
      <c r="C44" s="2"/>
      <c r="D44" s="2"/>
      <c r="E44" s="2">
        <f>+IFERROR(VLOOKUP(A44,tablemax[],3,0),E43*(1+$E$2))</f>
        <v>521096.48395112081</v>
      </c>
      <c r="F44" s="124" t="e">
        <f t="shared" si="0"/>
        <v>#NUM!</v>
      </c>
      <c r="G44" s="2"/>
    </row>
    <row r="45" spans="1:10" x14ac:dyDescent="0.2">
      <c r="A45">
        <f t="shared" si="1"/>
        <v>2063</v>
      </c>
      <c r="B45" s="3" t="e">
        <f>IFERROR(VLOOKUP($A45,$L$7:$M$11,2,0),B44*(1+Data!$D$15))</f>
        <v>#N/A</v>
      </c>
      <c r="C45" s="2"/>
      <c r="D45" s="2"/>
      <c r="E45" s="2">
        <f>+IFERROR(VLOOKUP(A45,tablemax[],3,0),E44*(1+$E$2))</f>
        <v>531518.41363014327</v>
      </c>
      <c r="F45" s="124" t="e">
        <f t="shared" si="0"/>
        <v>#NUM!</v>
      </c>
      <c r="G45" s="2"/>
    </row>
    <row r="46" spans="1:10" x14ac:dyDescent="0.2">
      <c r="A46">
        <f t="shared" si="1"/>
        <v>2064</v>
      </c>
      <c r="B46" s="3" t="e">
        <f>IFERROR(VLOOKUP($A46,$L$7:$M$11,2,0),B45*(1+Data!$D$15))</f>
        <v>#N/A</v>
      </c>
      <c r="C46" s="2"/>
      <c r="D46" s="2"/>
      <c r="E46" s="2">
        <f>+IFERROR(VLOOKUP(A46,tablemax[],3,0),E45*(1+$E$2))</f>
        <v>542148.78190274618</v>
      </c>
      <c r="F46" s="124" t="e">
        <f t="shared" si="0"/>
        <v>#NUM!</v>
      </c>
      <c r="G46" s="2"/>
    </row>
    <row r="47" spans="1:10" x14ac:dyDescent="0.2">
      <c r="A47">
        <f t="shared" si="1"/>
        <v>2065</v>
      </c>
      <c r="B47" s="3" t="e">
        <f>IFERROR(VLOOKUP($A47,$L$7:$M$11,2,0),B46*(1+Data!$D$15))</f>
        <v>#N/A</v>
      </c>
      <c r="C47" s="2"/>
      <c r="D47" s="2"/>
      <c r="E47" s="2">
        <f>+IFERROR(VLOOKUP(A47,tablemax[],3,0),E46*(1+$E$2))</f>
        <v>552991.75754080107</v>
      </c>
      <c r="F47" s="124" t="e">
        <f t="shared" si="0"/>
        <v>#NUM!</v>
      </c>
      <c r="G47" s="2"/>
    </row>
    <row r="48" spans="1:10" x14ac:dyDescent="0.2">
      <c r="A48">
        <f t="shared" si="1"/>
        <v>2066</v>
      </c>
      <c r="B48" s="3" t="e">
        <f>IFERROR(VLOOKUP($A48,$L$7:$M$11,2,0),B47*(1+Data!$D$15))</f>
        <v>#N/A</v>
      </c>
      <c r="C48" s="2"/>
      <c r="D48" s="2"/>
      <c r="E48" s="2">
        <f>+IFERROR(VLOOKUP(A48,tablemax[],3,0),E47*(1+$E$2))</f>
        <v>564051.59269161709</v>
      </c>
      <c r="F48" s="124" t="e">
        <f t="shared" si="0"/>
        <v>#NUM!</v>
      </c>
      <c r="G48" s="2"/>
    </row>
    <row r="49" spans="1:7" x14ac:dyDescent="0.2">
      <c r="A49">
        <f t="shared" si="1"/>
        <v>2067</v>
      </c>
      <c r="B49" s="3" t="e">
        <f>IFERROR(VLOOKUP($A49,$L$7:$M$11,2,0),B48*(1+Data!$D$15))</f>
        <v>#N/A</v>
      </c>
      <c r="C49" s="2"/>
      <c r="D49" s="2"/>
      <c r="E49" s="2">
        <f>+IFERROR(VLOOKUP(A49,tablemax[],3,0),E48*(1+$E$2))</f>
        <v>575332.62454544939</v>
      </c>
      <c r="F49" s="124" t="e">
        <f t="shared" si="0"/>
        <v>#NUM!</v>
      </c>
      <c r="G49" s="2"/>
    </row>
    <row r="50" spans="1:7" x14ac:dyDescent="0.2">
      <c r="A50">
        <f t="shared" si="1"/>
        <v>2068</v>
      </c>
      <c r="B50" s="3" t="e">
        <f>IFERROR(VLOOKUP($A50,$L$7:$M$11,2,0),B49*(1+Data!$D$15))</f>
        <v>#N/A</v>
      </c>
      <c r="C50" s="2"/>
      <c r="D50" s="2"/>
      <c r="E50" s="2">
        <f>+IFERROR(VLOOKUP(A50,tablemax[],3,0),E49*(1+$E$2))</f>
        <v>586839.27703635837</v>
      </c>
      <c r="F50" s="124" t="e">
        <f t="shared" si="0"/>
        <v>#NUM!</v>
      </c>
      <c r="G50" s="2"/>
    </row>
    <row r="51" spans="1:7" x14ac:dyDescent="0.2">
      <c r="A51">
        <f t="shared" si="1"/>
        <v>2069</v>
      </c>
      <c r="B51" s="3" t="e">
        <f>IFERROR(VLOOKUP($A51,$L$7:$M$11,2,0),B50*(1+Data!$D$15))</f>
        <v>#N/A</v>
      </c>
      <c r="C51" s="2"/>
      <c r="D51" s="2"/>
      <c r="E51" s="2">
        <f>+IFERROR(VLOOKUP(A51,tablemax[],3,0),E50*(1+$E$2))</f>
        <v>598576.06257708557</v>
      </c>
      <c r="F51" s="124" t="e">
        <f t="shared" si="0"/>
        <v>#NUM!</v>
      </c>
      <c r="G51" s="2"/>
    </row>
    <row r="52" spans="1:7" x14ac:dyDescent="0.2">
      <c r="A52">
        <f t="shared" si="1"/>
        <v>2070</v>
      </c>
      <c r="B52" s="3" t="e">
        <f>IFERROR(VLOOKUP($A52,$L$7:$M$11,2,0),B51*(1+Data!$D$15))</f>
        <v>#N/A</v>
      </c>
      <c r="C52" s="2"/>
      <c r="D52" s="2"/>
      <c r="E52" s="2">
        <f>+IFERROR(VLOOKUP(A52,tablemax[],3,0),E51*(1+$E$2))</f>
        <v>610547.58382862725</v>
      </c>
      <c r="F52" s="124" t="e">
        <f t="shared" si="0"/>
        <v>#NUM!</v>
      </c>
      <c r="G52" s="2"/>
    </row>
    <row r="53" spans="1:7" x14ac:dyDescent="0.2">
      <c r="A53">
        <f t="shared" si="1"/>
        <v>2071</v>
      </c>
      <c r="B53" s="3" t="e">
        <f>IFERROR(VLOOKUP($A53,$L$7:$M$11,2,0),B52*(1+Data!$D$15))</f>
        <v>#N/A</v>
      </c>
      <c r="C53" s="2"/>
      <c r="D53" s="2"/>
      <c r="E53" s="2">
        <f>+IFERROR(VLOOKUP(A53,tablemax[],3,0),E52*(1+$E$2))</f>
        <v>622758.5355051998</v>
      </c>
      <c r="F53" s="124" t="e">
        <f t="shared" si="0"/>
        <v>#NUM!</v>
      </c>
      <c r="G53" s="2"/>
    </row>
    <row r="54" spans="1:7" x14ac:dyDescent="0.2">
      <c r="A54">
        <f t="shared" si="1"/>
        <v>2072</v>
      </c>
      <c r="B54" s="3" t="e">
        <f>IFERROR(VLOOKUP($A54,$L$7:$M$11,2,0),B53*(1+Data!$D$15))</f>
        <v>#N/A</v>
      </c>
      <c r="C54" s="2"/>
      <c r="D54" s="2"/>
      <c r="E54" s="2">
        <f>+IFERROR(VLOOKUP(A54,tablemax[],3,0),E53*(1+$E$2))</f>
        <v>635213.70621530386</v>
      </c>
      <c r="F54" s="124" t="e">
        <f t="shared" si="0"/>
        <v>#NUM!</v>
      </c>
      <c r="G54" s="2"/>
    </row>
    <row r="55" spans="1:7" x14ac:dyDescent="0.2">
      <c r="A55">
        <f t="shared" si="1"/>
        <v>2073</v>
      </c>
      <c r="B55" s="3" t="e">
        <f>IFERROR(VLOOKUP($A55,$L$7:$M$11,2,0),B54*(1+Data!$D$15))</f>
        <v>#N/A</v>
      </c>
      <c r="C55" s="2"/>
      <c r="D55" s="2"/>
      <c r="E55" s="2">
        <f>+IFERROR(VLOOKUP(A55,tablemax[],3,0),E54*(1+$E$2))</f>
        <v>647917.9803396099</v>
      </c>
      <c r="F55" s="124" t="e">
        <f t="shared" si="0"/>
        <v>#NUM!</v>
      </c>
      <c r="G55" s="2"/>
    </row>
  </sheetData>
  <protectedRanges>
    <protectedRange password="A4FF" sqref="M7:M10" name="Range1_1"/>
    <protectedRange password="A4FF" sqref="M11" name="Range1"/>
  </protectedRanges>
  <phoneticPr fontId="2" type="noConversion"/>
  <dataValidations count="1">
    <dataValidation type="decimal" allowBlank="1" showInputMessage="1" showErrorMessage="1" promptTitle="Entrez votre salaire annuel" prompt="Faire la moyenne de votre salaire annuel régulier plus les primes administratives  Les surcharges ne doivent pas être incluses dans le calcul" sqref="M7:M11">
      <formula1>0</formula1>
      <formula2>999999</formula2>
    </dataValidation>
  </dataValidations>
  <hyperlinks>
    <hyperlink ref="H3" r:id="rId1"/>
  </hyperlinks>
  <printOptions horizontalCentered="1"/>
  <pageMargins left="0.75" right="0.75" top="1" bottom="1" header="0.5" footer="0.5"/>
  <pageSetup orientation="portrait" r:id="rId2"/>
  <headerFooter alignWithMargins="0">
    <oddFooter>&amp;L&amp;D&amp;R&amp;Z&amp;F</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Data</vt:lpstr>
      <vt:lpstr>Calculatrice</vt:lpstr>
      <vt:lpstr>Data!Print_Area</vt:lpstr>
    </vt:vector>
  </TitlesOfParts>
  <Company>Assomption Vie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nathalie.joseph</dc:creator>
  <cp:lastModifiedBy>Pierre-Luc Bouchard</cp:lastModifiedBy>
  <cp:lastPrinted>2025-05-28T16:27:59Z</cp:lastPrinted>
  <dcterms:created xsi:type="dcterms:W3CDTF">2009-04-08T12:38:10Z</dcterms:created>
  <dcterms:modified xsi:type="dcterms:W3CDTF">2025-05-28T18:02:49Z</dcterms:modified>
</cp:coreProperties>
</file>