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V:\Calculatrice pension\Université de Moncton\"/>
    </mc:Choice>
  </mc:AlternateContent>
  <workbookProtection workbookAlgorithmName="SHA-512" workbookHashValue="j4T7WBR8il+e0T4LUJ7iJMpLWI+AN8WMFs6gNSVPEvh+k63CumfESqMf9oggmnCKdQbDszSu4WreZVAcYFhoIQ==" workbookSaltValue="U1geIGKOyl74/7g0Eb+QVA==" workbookSpinCount="100000" lockStructure="1"/>
  <bookViews>
    <workbookView xWindow="0" yWindow="0" windowWidth="18870" windowHeight="9900"/>
  </bookViews>
  <sheets>
    <sheet name="Data" sheetId="4" r:id="rId1"/>
    <sheet name="Calculatrice" sheetId="3" state="hidden" r:id="rId2"/>
  </sheets>
  <definedNames>
    <definedName name="_xlnm.Print_Area" localSheetId="0">Data!$A$1:$G$67</definedName>
  </definedNames>
  <calcPr calcId="162913"/>
</workbook>
</file>

<file path=xl/calcChain.xml><?xml version="1.0" encoding="utf-8"?>
<calcChain xmlns="http://schemas.openxmlformats.org/spreadsheetml/2006/main">
  <c r="A4" i="3" l="1"/>
  <c r="M39" i="3"/>
  <c r="M38" i="3" l="1"/>
  <c r="A25" i="4" l="1"/>
  <c r="M37" i="3" l="1"/>
  <c r="B8" i="4" l="1"/>
  <c r="M36" i="3" l="1"/>
  <c r="P5" i="4" l="1"/>
  <c r="P6" i="4" s="1"/>
  <c r="P7" i="4" s="1"/>
  <c r="P8" i="4" s="1"/>
  <c r="P9" i="4" s="1"/>
  <c r="P10" i="4" s="1"/>
  <c r="P11" i="4" s="1"/>
  <c r="P12" i="4" s="1"/>
  <c r="P13" i="4" s="1"/>
  <c r="P14" i="4" s="1"/>
  <c r="P15" i="4" s="1"/>
  <c r="D66" i="4" l="1"/>
  <c r="M3" i="4"/>
  <c r="M4" i="4" s="1"/>
  <c r="M5" i="4" s="1"/>
  <c r="M6" i="4" s="1"/>
  <c r="M7" i="4" s="1"/>
  <c r="M8" i="4" s="1"/>
  <c r="M9" i="4" s="1"/>
  <c r="M10" i="4" s="1"/>
  <c r="M11" i="4" s="1"/>
  <c r="M12" i="4" s="1"/>
  <c r="M13" i="4" s="1"/>
  <c r="M14" i="4" s="1"/>
  <c r="M15" i="4" s="1"/>
  <c r="M16" i="4" s="1"/>
  <c r="M17" i="4" s="1"/>
  <c r="M18" i="4" s="1"/>
  <c r="M35" i="3" l="1"/>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D53" i="4" l="1"/>
  <c r="E38" i="4"/>
  <c r="D50" i="4" s="1"/>
  <c r="D60" i="4" s="1"/>
  <c r="D4" i="3"/>
  <c r="C43" i="4"/>
  <c r="H2" i="3"/>
  <c r="H7" i="3" s="1"/>
  <c r="H8" i="3" s="1"/>
  <c r="H9" i="3" s="1"/>
  <c r="H10" i="3" s="1"/>
  <c r="H11" i="3" s="1"/>
  <c r="H12" i="3" s="1"/>
  <c r="H13" i="3" s="1"/>
  <c r="H14" i="3" s="1"/>
  <c r="H15" i="3" s="1"/>
  <c r="H16" i="3" s="1"/>
  <c r="H17" i="3" s="1"/>
  <c r="H18" i="3" s="1"/>
  <c r="H19" i="3" s="1"/>
  <c r="H20" i="3" s="1"/>
  <c r="H21" i="3" s="1"/>
  <c r="H22" i="3" s="1"/>
  <c r="H23" i="3" s="1"/>
  <c r="H24" i="3" s="1"/>
  <c r="H25" i="3" s="1"/>
  <c r="H26" i="3" s="1"/>
  <c r="H27" i="3" s="1"/>
  <c r="H28" i="3" s="1"/>
  <c r="H29" i="3" s="1"/>
  <c r="H30" i="3" s="1"/>
  <c r="H31" i="3" s="1"/>
  <c r="H32" i="3" s="1"/>
  <c r="H33" i="3" s="1"/>
  <c r="H34" i="3" s="1"/>
  <c r="H35" i="3" s="1"/>
  <c r="H36" i="3" s="1"/>
  <c r="H37" i="3" s="1"/>
  <c r="H38" i="3" s="1"/>
  <c r="H39" i="3" s="1"/>
  <c r="H40" i="3" s="1"/>
  <c r="H41" i="3" s="1"/>
  <c r="H42" i="3" s="1"/>
  <c r="H43" i="3" s="1"/>
  <c r="H44" i="3" s="1"/>
  <c r="H45" i="3" s="1"/>
  <c r="H46" i="3" s="1"/>
  <c r="H47" i="3" s="1"/>
  <c r="H48" i="3" s="1"/>
  <c r="H49" i="3" s="1"/>
  <c r="H50" i="3" s="1"/>
  <c r="H51" i="3" s="1"/>
  <c r="H52" i="3" s="1"/>
  <c r="H53" i="3" s="1"/>
  <c r="H54" i="3" s="1"/>
  <c r="H55" i="3" s="1"/>
  <c r="A41" i="4"/>
  <c r="B4" i="3"/>
  <c r="C4" i="3" s="1"/>
  <c r="A5" i="3"/>
  <c r="B9" i="4" s="1"/>
  <c r="B5" i="3"/>
  <c r="B6" i="3"/>
  <c r="B7" i="3" s="1"/>
  <c r="A6" i="3" l="1"/>
  <c r="D5" i="3"/>
  <c r="C5" i="3"/>
  <c r="A49" i="4"/>
  <c r="A59" i="4" s="1"/>
  <c r="B8" i="3"/>
  <c r="C6" i="3" l="1"/>
  <c r="A16" i="4"/>
  <c r="B10" i="4"/>
  <c r="A7" i="3"/>
  <c r="D6" i="3"/>
  <c r="B9" i="3"/>
  <c r="D7" i="3" l="1"/>
  <c r="A8" i="3"/>
  <c r="C7" i="3"/>
  <c r="B10" i="3"/>
  <c r="D8" i="3" l="1"/>
  <c r="C8" i="3"/>
  <c r="A9" i="3"/>
  <c r="B11" i="3"/>
  <c r="D9" i="3" l="1"/>
  <c r="C9" i="3"/>
  <c r="A10" i="3"/>
  <c r="B12" i="3"/>
  <c r="B13" i="3" s="1"/>
  <c r="B14" i="3" s="1"/>
  <c r="B15" i="3" s="1"/>
  <c r="B16" i="3" l="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D10" i="3"/>
  <c r="C10" i="3"/>
  <c r="A11" i="3"/>
  <c r="D11" i="3" l="1"/>
  <c r="C11" i="3"/>
  <c r="A12" i="3"/>
  <c r="C12" i="3" l="1"/>
  <c r="D12" i="3"/>
  <c r="A13" i="3"/>
  <c r="C13" i="3" l="1"/>
  <c r="D13" i="3"/>
  <c r="A14" i="3"/>
  <c r="D14" i="3" l="1"/>
  <c r="C14" i="3"/>
  <c r="A15" i="3"/>
  <c r="D15" i="3" l="1"/>
  <c r="C15" i="3"/>
  <c r="A16" i="3"/>
  <c r="D16" i="3" l="1"/>
  <c r="C16" i="3"/>
  <c r="A17" i="3"/>
  <c r="D17" i="3" l="1"/>
  <c r="C17" i="3"/>
  <c r="A18" i="3"/>
  <c r="D18" i="3" l="1"/>
  <c r="C18" i="3"/>
  <c r="A19" i="3"/>
  <c r="C19" i="3" l="1"/>
  <c r="D19" i="3"/>
  <c r="A20" i="3"/>
  <c r="C20" i="3" l="1"/>
  <c r="D20" i="3"/>
  <c r="A21" i="3"/>
  <c r="C21" i="3" l="1"/>
  <c r="D21" i="3"/>
  <c r="A22" i="3"/>
  <c r="C22" i="3" l="1"/>
  <c r="D22" i="3"/>
  <c r="A23" i="3"/>
  <c r="D23" i="3" l="1"/>
  <c r="C23" i="3"/>
  <c r="A24" i="3"/>
  <c r="D24" i="3" l="1"/>
  <c r="C24" i="3"/>
  <c r="A25" i="3"/>
  <c r="D25" i="3" l="1"/>
  <c r="C25" i="3"/>
  <c r="A26" i="3"/>
  <c r="C26" i="3" l="1"/>
  <c r="D26" i="3"/>
  <c r="A27" i="3"/>
  <c r="C27" i="3" l="1"/>
  <c r="D27" i="3"/>
  <c r="A28" i="3"/>
  <c r="C28" i="3" l="1"/>
  <c r="D28" i="3"/>
  <c r="A29" i="3"/>
  <c r="C29" i="3" l="1"/>
  <c r="D29" i="3"/>
  <c r="A30" i="3"/>
  <c r="D30" i="3" l="1"/>
  <c r="C30" i="3"/>
  <c r="A31" i="3"/>
  <c r="C31" i="3" l="1"/>
  <c r="D31" i="3"/>
  <c r="A32" i="3"/>
  <c r="D32" i="3" l="1"/>
  <c r="C32" i="3"/>
  <c r="A33" i="3"/>
  <c r="D33" i="3" l="1"/>
  <c r="C33" i="3"/>
  <c r="A34" i="3"/>
  <c r="D34" i="3" l="1"/>
  <c r="C34" i="3"/>
  <c r="A35" i="3"/>
  <c r="C35" i="3" l="1"/>
  <c r="D35" i="3"/>
  <c r="A36" i="3"/>
  <c r="C36" i="3" l="1"/>
  <c r="D36" i="3"/>
  <c r="A37" i="3"/>
  <c r="C37" i="3" l="1"/>
  <c r="D37" i="3"/>
  <c r="A38" i="3"/>
  <c r="C38" i="3" l="1"/>
  <c r="D38" i="3"/>
  <c r="A39" i="3"/>
  <c r="D39" i="3" l="1"/>
  <c r="C39" i="3"/>
  <c r="A40" i="3"/>
  <c r="D40" i="3" l="1"/>
  <c r="C40" i="3"/>
  <c r="A41" i="3"/>
  <c r="D41" i="3" l="1"/>
  <c r="C41" i="3"/>
  <c r="A42" i="3"/>
  <c r="C42" i="3" l="1"/>
  <c r="D42" i="3"/>
  <c r="A43" i="3"/>
  <c r="C43" i="3" l="1"/>
  <c r="D43" i="3"/>
  <c r="A44" i="3"/>
  <c r="C44" i="3" l="1"/>
  <c r="D44" i="3"/>
  <c r="A45" i="3"/>
  <c r="C45" i="3" l="1"/>
  <c r="D45" i="3"/>
  <c r="A46" i="3"/>
  <c r="C46" i="3" l="1"/>
  <c r="D46" i="3"/>
  <c r="A47" i="3"/>
  <c r="D47" i="3" l="1"/>
  <c r="C47" i="3"/>
  <c r="A48" i="3"/>
  <c r="D48" i="3" l="1"/>
  <c r="C48" i="3"/>
  <c r="A49" i="3"/>
  <c r="D49" i="3" l="1"/>
  <c r="C49" i="3"/>
  <c r="A50" i="3"/>
  <c r="D50" i="3" l="1"/>
  <c r="C50" i="3"/>
  <c r="A51" i="3"/>
  <c r="C51" i="3" l="1"/>
  <c r="D51" i="3"/>
  <c r="A52" i="3"/>
  <c r="C52" i="3" l="1"/>
  <c r="D52" i="3"/>
  <c r="A53" i="3"/>
  <c r="C53" i="3" l="1"/>
  <c r="D53" i="3"/>
  <c r="A54" i="3"/>
  <c r="C54" i="3" l="1"/>
  <c r="D54" i="3"/>
  <c r="A55" i="3"/>
  <c r="D37" i="4" s="1"/>
  <c r="C30" i="4" l="1"/>
  <c r="D32" i="4"/>
  <c r="D49" i="4" s="1"/>
  <c r="D51" i="4" s="1"/>
  <c r="E55" i="4" s="1"/>
  <c r="D54" i="4"/>
  <c r="C32" i="4"/>
  <c r="D55" i="3"/>
  <c r="C55" i="3"/>
  <c r="D63" i="4" l="1"/>
  <c r="D68" i="4" s="1"/>
  <c r="C33" i="4"/>
  <c r="C34" i="4" s="1"/>
  <c r="C36" i="4" s="1"/>
  <c r="D33" i="4"/>
  <c r="D59" i="4" s="1"/>
  <c r="D64" i="4"/>
  <c r="D61" i="4" l="1"/>
  <c r="D67" i="4" s="1"/>
  <c r="E65" i="4" l="1"/>
  <c r="E66" i="4" s="1"/>
</calcChain>
</file>

<file path=xl/sharedStrings.xml><?xml version="1.0" encoding="utf-8"?>
<sst xmlns="http://schemas.openxmlformats.org/spreadsheetml/2006/main" count="71" uniqueCount="67">
  <si>
    <t>Mois</t>
  </si>
  <si>
    <t>Année</t>
  </si>
  <si>
    <t>En date du:</t>
  </si>
  <si>
    <t>Rente pour service &gt; 2010 salaire carrière</t>
  </si>
  <si>
    <t>Rente si aucun changement:</t>
  </si>
  <si>
    <t>Salaire pour calcul</t>
  </si>
  <si>
    <t>Salaire carrière</t>
  </si>
  <si>
    <t>Différence:</t>
  </si>
  <si>
    <t>Rente totale après changement:</t>
  </si>
  <si>
    <t>Salaire moyen final 3 ans à la date de retraite prévue:</t>
  </si>
  <si>
    <t>Rente pour service &lt; 2013</t>
  </si>
  <si>
    <t>Rente pour service avant 2014:</t>
  </si>
  <si>
    <t>Rente pour service 2014 et après:</t>
  </si>
  <si>
    <t>max regime</t>
  </si>
  <si>
    <t>Moyenne salariale - 3 meilleures années</t>
  </si>
  <si>
    <t>Total du pourcentage de rente accumulé</t>
  </si>
  <si>
    <t>Nom</t>
  </si>
  <si>
    <t>Avant 1992                                          1,54 %</t>
  </si>
  <si>
    <t>Avant 1992                                          2 %</t>
  </si>
  <si>
    <t>Date de retraite normale</t>
  </si>
  <si>
    <t>Depuis 1992                                          2 %</t>
  </si>
  <si>
    <t>Depuis 1992                                          1,54 %</t>
  </si>
  <si>
    <t>Depuis 2014</t>
  </si>
  <si>
    <t>(AAAA)</t>
  </si>
  <si>
    <t>(MM)</t>
  </si>
  <si>
    <t xml:space="preserve">Année </t>
  </si>
  <si>
    <t>Date de retraite désirée</t>
  </si>
  <si>
    <t>Calcul de vos acquis de pension jusqu'au 31 décembre 2013  (avant l'actualisation du régime)</t>
  </si>
  <si>
    <t>Salaire moyen après 2013</t>
  </si>
  <si>
    <t>Salaire annuel</t>
  </si>
  <si>
    <r>
      <t>Calcul de vos acquis de pension à partir du 1</t>
    </r>
    <r>
      <rPr>
        <b/>
        <vertAlign val="superscript"/>
        <sz val="12"/>
        <rFont val="Arial"/>
        <family val="2"/>
      </rPr>
      <t>er</t>
    </r>
    <r>
      <rPr>
        <b/>
        <sz val="12"/>
        <rFont val="Arial"/>
        <family val="2"/>
      </rPr>
      <t xml:space="preserve"> janvier 2014  (après l'actualisation du régime)</t>
    </r>
  </si>
  <si>
    <t>Nombre d'années de service créditées jusqu'au 31 décembre 2013</t>
  </si>
  <si>
    <t>Nombre d'années de service créditées à partir de 2014</t>
  </si>
  <si>
    <t>Pourcentage annuel d'augmentation salariale future</t>
  </si>
  <si>
    <t># mois pour atteindre la retraite désirée versus la date de retraite normale                                                                            ( Utilisé pour le calcul de la pénalité)</t>
  </si>
  <si>
    <t xml:space="preserve"> Rachat avant 1992                         2 %</t>
  </si>
  <si>
    <t xml:space="preserve"> Rachat après 1992                        2 %</t>
  </si>
  <si>
    <t>Réduction %</t>
  </si>
  <si>
    <t>Réduction $</t>
  </si>
  <si>
    <t>Réduction  %</t>
  </si>
  <si>
    <t>Estimation de la prestation en date du :</t>
  </si>
  <si>
    <t>Prestation accumulée jusqu'au 31 décembre 2013</t>
  </si>
  <si>
    <t>Prestation accumulée à partir de janvier 2014</t>
  </si>
  <si>
    <t>Estimation totale de votre prestation à la retraite  au</t>
  </si>
  <si>
    <t>https://www.canada.ca/en/revenue-agency/services/tax/registered-plans-administrators/pspa/mp-rrsp-dpsp-tfsa-limits-ympe.html</t>
  </si>
  <si>
    <t>Plafond des PD</t>
  </si>
  <si>
    <t>Salaire max</t>
  </si>
  <si>
    <t>Avis :</t>
  </si>
  <si>
    <t>Les renseignements et la calculatrice interactive vous sont offerts en tant qu'outils libre-service pour votre usage personnel. L’information présentée ou y figurant est de nature générale et est mise à votre disposition à titre d’information générale seulement et « telle quelle », sans aucune garantie notamment au niveau de son exactitude ou de sa caducité. Cette information ne doit pas être interprétée comme constituant un ou des conseils ou avis professionnel. Si vous avez besoin de conseils particuliers, veuillez consulter un professionnel qualifié dans ce domaine. Pour de l’information générale, vous pouvez vous adresser au service des ressources humaines de l’Université.</t>
  </si>
  <si>
    <t>janvier</t>
  </si>
  <si>
    <t>février</t>
  </si>
  <si>
    <t>mars</t>
  </si>
  <si>
    <t>avril</t>
  </si>
  <si>
    <t>mai</t>
  </si>
  <si>
    <t>juin</t>
  </si>
  <si>
    <t>juillet</t>
  </si>
  <si>
    <t>août</t>
  </si>
  <si>
    <t>septembre</t>
  </si>
  <si>
    <t>octobre</t>
  </si>
  <si>
    <t>novembre</t>
  </si>
  <si>
    <t>décembre</t>
  </si>
  <si>
    <t>(selon le relevé de pension - p.4)</t>
  </si>
  <si>
    <t>Indiquer l’augmentation future annuelle que vous prévoyez pour votre salaire. Si vous ne savez pas ou que vous pensez que votre salaire n’augmentera pas, indiquez 0.00%.</t>
  </si>
  <si>
    <t>Estimation de votre prestation annuelle à la retraite</t>
  </si>
  <si>
    <t>Prestation annuelle de retraite depuis 2014</t>
  </si>
  <si>
    <t>Régime de pension pour le personnel de soutien, les techniciens et techniciennes et le personnel administratif ou professionnel de l'Université de Moncton</t>
  </si>
  <si>
    <r>
      <t xml:space="preserve">Montant de la réduction : </t>
    </r>
    <r>
      <rPr>
        <b/>
        <sz val="10"/>
        <color rgb="FFFF0000"/>
        <rFont val="Arial"/>
        <family val="2"/>
      </rPr>
      <t>(déjà enlevée de la prestation estimée)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</si>
</sst>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7" formatCode="&quot;$&quot;#,##0.00_);\(&quot;$&quot;#,##0.00\)"/>
    <numFmt numFmtId="44" formatCode="_(&quot;$&quot;* #,##0.00_);_(&quot;$&quot;* \(#,##0.00\);_(&quot;$&quot;* &quot;-&quot;??_);_(@_)"/>
    <numFmt numFmtId="164" formatCode="&quot;$&quot;#,##0.00;[Red]\-&quot;$&quot;#,##0.00"/>
    <numFmt numFmtId="165" formatCode="#,##0\ &quot;$&quot;_);\(#,##0\ &quot;$&quot;\)"/>
    <numFmt numFmtId="166" formatCode="[$-C0C]d\ mmm\ yyyy;@"/>
    <numFmt numFmtId="167" formatCode="&quot;$&quot;#,##0.0000_);\(&quot;$&quot;#,##0.0000\)"/>
    <numFmt numFmtId="168" formatCode="General_)"/>
    <numFmt numFmtId="169" formatCode="#,##0\ &quot;$&quot;"/>
    <numFmt numFmtId="170" formatCode="[$-F800]dddd\,\ mmmm\ dd\,\ yyyy"/>
    <numFmt numFmtId="171" formatCode="0.0000"/>
    <numFmt numFmtId="172" formatCode="&quot;$&quot;#,##0.00"/>
    <numFmt numFmtId="173" formatCode="[$-C0C]d\ mmmm\ yyyy;@"/>
    <numFmt numFmtId="174" formatCode="[$-C0C]mmmm"/>
  </numFmts>
  <fonts count="29" x14ac:knownFonts="1">
    <font>
      <sz val="10"/>
      <name val="Arial"/>
    </font>
    <font>
      <sz val="10"/>
      <name val="Arial"/>
      <family val="2"/>
    </font>
    <font>
      <sz val="8"/>
      <name val="Arial"/>
      <family val="2"/>
    </font>
    <font>
      <b/>
      <sz val="10"/>
      <name val="Arial"/>
      <family val="2"/>
    </font>
    <font>
      <sz val="10"/>
      <color indexed="12"/>
      <name val="Arial"/>
      <family val="2"/>
    </font>
    <font>
      <b/>
      <sz val="12"/>
      <name val="Arial"/>
      <family val="2"/>
    </font>
    <font>
      <b/>
      <sz val="14"/>
      <name val="Arial"/>
      <family val="2"/>
    </font>
    <font>
      <b/>
      <sz val="10"/>
      <color indexed="8"/>
      <name val="Arial"/>
      <family val="2"/>
    </font>
    <font>
      <b/>
      <sz val="11"/>
      <color indexed="8"/>
      <name val="Arial"/>
      <family val="2"/>
    </font>
    <font>
      <sz val="11"/>
      <color indexed="8"/>
      <name val="Arial"/>
      <family val="2"/>
    </font>
    <font>
      <b/>
      <sz val="11"/>
      <name val="Arial"/>
      <family val="2"/>
    </font>
    <font>
      <b/>
      <sz val="16"/>
      <name val="Arial"/>
      <family val="2"/>
    </font>
    <font>
      <sz val="11"/>
      <color indexed="12"/>
      <name val="Arial"/>
      <family val="2"/>
    </font>
    <font>
      <sz val="12"/>
      <color indexed="12"/>
      <name val="Arial"/>
      <family val="2"/>
    </font>
    <font>
      <sz val="11"/>
      <name val="Arial"/>
      <family val="2"/>
    </font>
    <font>
      <u/>
      <sz val="11"/>
      <color indexed="8"/>
      <name val="Arial"/>
      <family val="2"/>
    </font>
    <font>
      <sz val="12"/>
      <color indexed="8"/>
      <name val="Arial"/>
      <family val="2"/>
    </font>
    <font>
      <sz val="12"/>
      <name val="Arial"/>
      <family val="2"/>
    </font>
    <font>
      <b/>
      <sz val="14"/>
      <color indexed="8"/>
      <name val="Arial"/>
      <family val="2"/>
    </font>
    <font>
      <sz val="14"/>
      <name val="Arial"/>
      <family val="2"/>
    </font>
    <font>
      <b/>
      <vertAlign val="superscript"/>
      <sz val="12"/>
      <name val="Arial"/>
      <family val="2"/>
    </font>
    <font>
      <sz val="10"/>
      <color theme="0"/>
      <name val="Arial"/>
      <family val="2"/>
    </font>
    <font>
      <sz val="10"/>
      <color rgb="FFFF0000"/>
      <name val="Arial"/>
      <family val="2"/>
    </font>
    <font>
      <b/>
      <sz val="14"/>
      <color rgb="FFFF0000"/>
      <name val="Arial"/>
      <family val="2"/>
    </font>
    <font>
      <sz val="14"/>
      <color rgb="FF0000FF"/>
      <name val="Arial"/>
      <family val="2"/>
    </font>
    <font>
      <b/>
      <sz val="14"/>
      <color rgb="FF0000FF"/>
      <name val="Arial"/>
      <family val="2"/>
    </font>
    <font>
      <u/>
      <sz val="10"/>
      <color theme="10"/>
      <name val="Arial"/>
      <family val="2"/>
    </font>
    <font>
      <sz val="10"/>
      <color rgb="FF00B050"/>
      <name val="Arial"/>
      <family val="2"/>
    </font>
    <font>
      <b/>
      <sz val="10"/>
      <color rgb="FFFF0000"/>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FFCC"/>
        <bgColor indexed="64"/>
      </patternFill>
    </fill>
    <fill>
      <patternFill patternType="solid">
        <fgColor theme="6" tint="0.39997558519241921"/>
        <bgColor indexed="64"/>
      </patternFill>
    </fill>
    <fill>
      <patternFill patternType="solid">
        <fgColor rgb="FFFFFF0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26" fillId="0" borderId="0" applyNumberFormat="0" applyFill="0" applyBorder="0" applyAlignment="0" applyProtection="0"/>
  </cellStyleXfs>
  <cellXfs count="175">
    <xf numFmtId="0" fontId="0" fillId="0" borderId="0" xfId="0"/>
    <xf numFmtId="10" fontId="4" fillId="0" borderId="0" xfId="0" applyNumberFormat="1" applyFont="1"/>
    <xf numFmtId="7" fontId="0" fillId="0" borderId="0" xfId="0" applyNumberFormat="1"/>
    <xf numFmtId="167" fontId="0" fillId="0" borderId="0" xfId="0" applyNumberFormat="1"/>
    <xf numFmtId="2" fontId="0" fillId="0" borderId="0" xfId="0" applyNumberFormat="1"/>
    <xf numFmtId="7" fontId="4" fillId="0" borderId="0" xfId="0" applyNumberFormat="1" applyFont="1"/>
    <xf numFmtId="0" fontId="4" fillId="0" borderId="0" xfId="0" applyFont="1"/>
    <xf numFmtId="0" fontId="1" fillId="0" borderId="0" xfId="0" applyFont="1"/>
    <xf numFmtId="10" fontId="1" fillId="2" borderId="1" xfId="0" applyNumberFormat="1" applyFont="1" applyFill="1" applyBorder="1"/>
    <xf numFmtId="0" fontId="21" fillId="0" borderId="0" xfId="0" applyFont="1"/>
    <xf numFmtId="0" fontId="11" fillId="0" borderId="0" xfId="0" applyFont="1" applyAlignment="1" applyProtection="1"/>
    <xf numFmtId="0" fontId="5" fillId="0" borderId="0" xfId="0" applyFont="1" applyAlignment="1" applyProtection="1">
      <alignment horizontal="centerContinuous"/>
    </xf>
    <xf numFmtId="0" fontId="0" fillId="0" borderId="0" xfId="0" applyAlignment="1" applyProtection="1">
      <alignment horizontal="centerContinuous"/>
    </xf>
    <xf numFmtId="0" fontId="0" fillId="0" borderId="0" xfId="0" applyProtection="1"/>
    <xf numFmtId="0" fontId="14" fillId="0" borderId="0" xfId="0" applyFont="1" applyProtection="1"/>
    <xf numFmtId="2" fontId="12" fillId="0" borderId="0" xfId="0" applyNumberFormat="1" applyFont="1" applyAlignment="1" applyProtection="1">
      <alignment horizontal="center"/>
    </xf>
    <xf numFmtId="2" fontId="4" fillId="0" borderId="0" xfId="0" applyNumberFormat="1" applyFont="1" applyAlignment="1" applyProtection="1">
      <alignment horizontal="center"/>
    </xf>
    <xf numFmtId="7" fontId="12" fillId="0" borderId="0" xfId="1" applyNumberFormat="1" applyFont="1" applyFill="1" applyBorder="1" applyAlignment="1" applyProtection="1">
      <alignment horizontal="center"/>
    </xf>
    <xf numFmtId="0" fontId="3" fillId="0" borderId="0" xfId="0" applyFont="1" applyBorder="1" applyProtection="1"/>
    <xf numFmtId="0" fontId="0" fillId="0" borderId="0" xfId="0" applyBorder="1" applyProtection="1"/>
    <xf numFmtId="10" fontId="4" fillId="0" borderId="0" xfId="0" applyNumberFormat="1" applyFont="1" applyFill="1" applyBorder="1" applyAlignment="1" applyProtection="1">
      <alignment horizontal="center"/>
    </xf>
    <xf numFmtId="0" fontId="10" fillId="3" borderId="2" xfId="0" applyFont="1" applyFill="1" applyBorder="1" applyAlignment="1" applyProtection="1">
      <alignment horizontal="center"/>
    </xf>
    <xf numFmtId="0" fontId="14" fillId="3" borderId="3" xfId="0" applyFont="1" applyFill="1" applyBorder="1" applyProtection="1"/>
    <xf numFmtId="0" fontId="14" fillId="3" borderId="0" xfId="0" applyFont="1" applyFill="1" applyBorder="1" applyProtection="1"/>
    <xf numFmtId="2" fontId="12" fillId="3" borderId="0" xfId="0" applyNumberFormat="1" applyFont="1" applyFill="1" applyBorder="1" applyAlignment="1" applyProtection="1">
      <alignment horizontal="center"/>
    </xf>
    <xf numFmtId="0" fontId="14" fillId="3" borderId="4" xfId="0" applyFont="1" applyFill="1" applyBorder="1" applyProtection="1"/>
    <xf numFmtId="0" fontId="10" fillId="3" borderId="5" xfId="0" applyFont="1" applyFill="1" applyBorder="1" applyAlignment="1" applyProtection="1">
      <alignment horizontal="center"/>
    </xf>
    <xf numFmtId="0" fontId="10" fillId="3" borderId="6" xfId="0" applyFont="1" applyFill="1" applyBorder="1" applyProtection="1"/>
    <xf numFmtId="0" fontId="14" fillId="3" borderId="7" xfId="0" applyFont="1" applyFill="1" applyBorder="1" applyProtection="1"/>
    <xf numFmtId="2" fontId="12" fillId="3" borderId="7" xfId="0" applyNumberFormat="1" applyFont="1" applyFill="1" applyBorder="1" applyAlignment="1" applyProtection="1">
      <alignment horizontal="center"/>
    </xf>
    <xf numFmtId="0" fontId="14" fillId="3" borderId="8" xfId="0" applyFont="1" applyFill="1" applyBorder="1" applyProtection="1"/>
    <xf numFmtId="0" fontId="1" fillId="0" borderId="0" xfId="0" applyFont="1" applyProtection="1"/>
    <xf numFmtId="10" fontId="4" fillId="0" borderId="0" xfId="0" applyNumberFormat="1" applyFont="1" applyAlignment="1" applyProtection="1">
      <alignment horizontal="center"/>
    </xf>
    <xf numFmtId="0" fontId="0" fillId="0" borderId="0" xfId="0" applyAlignment="1" applyProtection="1">
      <alignment horizontal="center"/>
    </xf>
    <xf numFmtId="7" fontId="0" fillId="0" borderId="0" xfId="0" applyNumberFormat="1" applyProtection="1"/>
    <xf numFmtId="0" fontId="3" fillId="0" borderId="9" xfId="0" applyFont="1" applyBorder="1" applyProtection="1"/>
    <xf numFmtId="0" fontId="3" fillId="0" borderId="10" xfId="0" applyFont="1" applyBorder="1" applyProtection="1"/>
    <xf numFmtId="7" fontId="3" fillId="0" borderId="11" xfId="0" applyNumberFormat="1" applyFont="1" applyBorder="1" applyProtection="1"/>
    <xf numFmtId="0" fontId="22" fillId="0" borderId="0" xfId="0" applyFont="1" applyFill="1" applyAlignment="1" applyProtection="1">
      <alignment horizontal="center"/>
    </xf>
    <xf numFmtId="0" fontId="11" fillId="0" borderId="0" xfId="0" applyFont="1" applyAlignment="1" applyProtection="1">
      <alignment horizontal="center"/>
    </xf>
    <xf numFmtId="0" fontId="10" fillId="0" borderId="0" xfId="0" applyFont="1" applyProtection="1"/>
    <xf numFmtId="168" fontId="8" fillId="0" borderId="0" xfId="0" applyNumberFormat="1" applyFont="1" applyAlignment="1" applyProtection="1">
      <alignment horizontal="left"/>
    </xf>
    <xf numFmtId="0" fontId="9" fillId="0" borderId="0" xfId="0" applyFont="1" applyProtection="1"/>
    <xf numFmtId="169" fontId="14" fillId="0" borderId="0" xfId="0" applyNumberFormat="1" applyFont="1" applyProtection="1"/>
    <xf numFmtId="1" fontId="12" fillId="4" borderId="12" xfId="0" applyNumberFormat="1" applyFont="1" applyFill="1" applyBorder="1" applyAlignment="1" applyProtection="1">
      <alignment horizontal="center"/>
      <protection locked="0"/>
    </xf>
    <xf numFmtId="0" fontId="12" fillId="4" borderId="13" xfId="0" applyFont="1" applyFill="1" applyBorder="1" applyAlignment="1" applyProtection="1">
      <alignment horizontal="center"/>
      <protection locked="0"/>
    </xf>
    <xf numFmtId="1" fontId="13" fillId="4" borderId="14" xfId="0" applyNumberFormat="1" applyFont="1" applyFill="1" applyBorder="1" applyAlignment="1" applyProtection="1">
      <alignment horizontal="center"/>
      <protection locked="0"/>
    </xf>
    <xf numFmtId="0" fontId="13" fillId="4" borderId="15" xfId="0" applyFont="1" applyFill="1" applyBorder="1" applyAlignment="1" applyProtection="1">
      <alignment horizontal="center"/>
      <protection locked="0"/>
    </xf>
    <xf numFmtId="0" fontId="3" fillId="0" borderId="0" xfId="0" applyFont="1" applyProtection="1">
      <protection hidden="1"/>
    </xf>
    <xf numFmtId="10" fontId="13" fillId="4" borderId="1" xfId="0" applyNumberFormat="1" applyFont="1" applyFill="1" applyBorder="1" applyAlignment="1" applyProtection="1">
      <alignment horizontal="center"/>
      <protection locked="0"/>
    </xf>
    <xf numFmtId="0" fontId="7" fillId="0" borderId="0" xfId="0" applyFont="1" applyFill="1" applyBorder="1"/>
    <xf numFmtId="165" fontId="13" fillId="4" borderId="18" xfId="1" applyNumberFormat="1" applyFont="1" applyFill="1" applyBorder="1" applyAlignment="1" applyProtection="1">
      <alignment horizontal="center"/>
      <protection locked="0"/>
    </xf>
    <xf numFmtId="2" fontId="10" fillId="3" borderId="0" xfId="0" applyNumberFormat="1" applyFont="1" applyFill="1" applyBorder="1" applyAlignment="1" applyProtection="1">
      <alignment horizontal="center"/>
    </xf>
    <xf numFmtId="7" fontId="13" fillId="4" borderId="20" xfId="1" applyNumberFormat="1" applyFont="1" applyFill="1" applyBorder="1" applyAlignment="1" applyProtection="1">
      <alignment horizontal="center"/>
      <protection locked="0"/>
    </xf>
    <xf numFmtId="0" fontId="3" fillId="0" borderId="0" xfId="0" applyFont="1" applyAlignment="1">
      <alignment horizontal="center"/>
    </xf>
    <xf numFmtId="0" fontId="6" fillId="3" borderId="1" xfId="0" applyFont="1" applyFill="1" applyBorder="1" applyAlignment="1" applyProtection="1">
      <alignment horizontal="center"/>
    </xf>
    <xf numFmtId="0" fontId="0" fillId="3" borderId="0" xfId="0" applyFill="1" applyBorder="1"/>
    <xf numFmtId="168" fontId="18" fillId="5" borderId="9" xfId="0" quotePrefix="1" applyNumberFormat="1" applyFont="1" applyFill="1" applyBorder="1" applyAlignment="1" applyProtection="1"/>
    <xf numFmtId="168" fontId="18" fillId="5" borderId="10" xfId="0" quotePrefix="1" applyNumberFormat="1" applyFont="1" applyFill="1" applyBorder="1" applyAlignment="1" applyProtection="1"/>
    <xf numFmtId="0" fontId="19" fillId="5" borderId="0" xfId="0" applyFont="1" applyFill="1"/>
    <xf numFmtId="0" fontId="5" fillId="0" borderId="1" xfId="0" applyFont="1" applyBorder="1" applyAlignment="1" applyProtection="1"/>
    <xf numFmtId="0" fontId="0" fillId="0" borderId="0" xfId="0" applyFill="1" applyProtection="1"/>
    <xf numFmtId="0" fontId="10" fillId="6" borderId="0" xfId="0" applyFont="1" applyFill="1" applyProtection="1"/>
    <xf numFmtId="0" fontId="14" fillId="6" borderId="0" xfId="0" applyFont="1" applyFill="1" applyProtection="1"/>
    <xf numFmtId="168" fontId="8" fillId="6" borderId="0" xfId="0" quotePrefix="1" applyNumberFormat="1" applyFont="1" applyFill="1" applyAlignment="1" applyProtection="1">
      <alignment horizontal="left"/>
    </xf>
    <xf numFmtId="0" fontId="9" fillId="6" borderId="0" xfId="0" applyFont="1" applyFill="1" applyProtection="1"/>
    <xf numFmtId="170" fontId="9" fillId="6" borderId="0" xfId="0" applyNumberFormat="1" applyFont="1" applyFill="1" applyProtection="1"/>
    <xf numFmtId="168" fontId="9" fillId="6" borderId="0" xfId="0" quotePrefix="1" applyNumberFormat="1" applyFont="1" applyFill="1" applyAlignment="1" applyProtection="1">
      <alignment horizontal="left"/>
    </xf>
    <xf numFmtId="168" fontId="8" fillId="6" borderId="0" xfId="0" applyNumberFormat="1" applyFont="1" applyFill="1" applyBorder="1" applyAlignment="1" applyProtection="1">
      <alignment horizontal="left"/>
    </xf>
    <xf numFmtId="0" fontId="15" fillId="6" borderId="0" xfId="0" applyFont="1" applyFill="1" applyBorder="1" applyProtection="1"/>
    <xf numFmtId="168" fontId="8" fillId="6" borderId="9" xfId="0" quotePrefix="1" applyNumberFormat="1" applyFont="1" applyFill="1" applyBorder="1" applyAlignment="1" applyProtection="1">
      <alignment horizontal="left"/>
    </xf>
    <xf numFmtId="0" fontId="14" fillId="6" borderId="10" xfId="0" applyFont="1" applyFill="1" applyBorder="1" applyProtection="1"/>
    <xf numFmtId="0" fontId="5" fillId="6" borderId="9" xfId="0" applyFont="1" applyFill="1" applyBorder="1" applyProtection="1"/>
    <xf numFmtId="0" fontId="16" fillId="6" borderId="10" xfId="0" applyFont="1" applyFill="1" applyBorder="1" applyProtection="1"/>
    <xf numFmtId="169" fontId="17" fillId="6" borderId="10" xfId="0" applyNumberFormat="1" applyFont="1" applyFill="1" applyBorder="1" applyProtection="1"/>
    <xf numFmtId="0" fontId="17" fillId="6" borderId="11" xfId="0" applyFont="1" applyFill="1" applyBorder="1" applyAlignment="1" applyProtection="1"/>
    <xf numFmtId="0" fontId="9" fillId="6" borderId="0" xfId="0" applyFont="1" applyFill="1" applyBorder="1" applyProtection="1"/>
    <xf numFmtId="170" fontId="9" fillId="6" borderId="0" xfId="0" applyNumberFormat="1" applyFont="1" applyFill="1" applyBorder="1" applyProtection="1"/>
    <xf numFmtId="168" fontId="8" fillId="6" borderId="0" xfId="0" applyNumberFormat="1" applyFont="1" applyFill="1" applyAlignment="1" applyProtection="1">
      <alignment horizontal="left"/>
    </xf>
    <xf numFmtId="0" fontId="9" fillId="6" borderId="10" xfId="0" applyFont="1" applyFill="1" applyBorder="1" applyProtection="1"/>
    <xf numFmtId="0" fontId="23" fillId="0" borderId="10" xfId="0" applyFont="1" applyFill="1" applyBorder="1"/>
    <xf numFmtId="171" fontId="13" fillId="4" borderId="12" xfId="0" applyNumberFormat="1" applyFont="1" applyFill="1" applyBorder="1" applyAlignment="1" applyProtection="1">
      <alignment horizontal="center"/>
      <protection locked="0"/>
    </xf>
    <xf numFmtId="171" fontId="13" fillId="4" borderId="25" xfId="0" applyNumberFormat="1" applyFont="1" applyFill="1" applyBorder="1" applyAlignment="1" applyProtection="1">
      <alignment horizontal="center"/>
      <protection locked="0"/>
    </xf>
    <xf numFmtId="171" fontId="13" fillId="4" borderId="13" xfId="0" applyNumberFormat="1" applyFont="1" applyFill="1" applyBorder="1" applyAlignment="1" applyProtection="1">
      <alignment horizontal="center"/>
      <protection locked="0"/>
    </xf>
    <xf numFmtId="168" fontId="10" fillId="6" borderId="0" xfId="0" applyNumberFormat="1" applyFont="1" applyFill="1" applyProtection="1"/>
    <xf numFmtId="172" fontId="0" fillId="0" borderId="0" xfId="0" applyNumberFormat="1"/>
    <xf numFmtId="0" fontId="26" fillId="0" borderId="0" xfId="2"/>
    <xf numFmtId="0" fontId="27" fillId="0" borderId="0" xfId="0" applyFont="1"/>
    <xf numFmtId="164" fontId="27" fillId="0" borderId="0" xfId="0" applyNumberFormat="1" applyFont="1"/>
    <xf numFmtId="0" fontId="22" fillId="0" borderId="0" xfId="0" applyFont="1"/>
    <xf numFmtId="7" fontId="22" fillId="0" borderId="0" xfId="0" applyNumberFormat="1" applyFont="1"/>
    <xf numFmtId="7" fontId="1" fillId="0" borderId="0" xfId="0" applyNumberFormat="1" applyFont="1" applyProtection="1"/>
    <xf numFmtId="169" fontId="0" fillId="0" borderId="0" xfId="0" applyNumberFormat="1" applyProtection="1"/>
    <xf numFmtId="0" fontId="10" fillId="0" borderId="0" xfId="0" applyFont="1"/>
    <xf numFmtId="0" fontId="14" fillId="0" borderId="0" xfId="0" applyFont="1"/>
    <xf numFmtId="0" fontId="14" fillId="6" borderId="21" xfId="0" applyFont="1" applyFill="1" applyBorder="1" applyProtection="1">
      <protection hidden="1"/>
    </xf>
    <xf numFmtId="169" fontId="9" fillId="6" borderId="22" xfId="0" applyNumberFormat="1" applyFont="1" applyFill="1" applyBorder="1" applyProtection="1">
      <protection hidden="1"/>
    </xf>
    <xf numFmtId="0" fontId="14" fillId="6" borderId="22" xfId="0" applyFont="1" applyFill="1" applyBorder="1" applyProtection="1">
      <protection hidden="1"/>
    </xf>
    <xf numFmtId="10" fontId="14" fillId="6" borderId="22" xfId="0" applyNumberFormat="1" applyFont="1" applyFill="1" applyBorder="1" applyAlignment="1" applyProtection="1">
      <alignment horizontal="right"/>
      <protection hidden="1"/>
    </xf>
    <xf numFmtId="169" fontId="14" fillId="6" borderId="22" xfId="1" applyNumberFormat="1" applyFont="1" applyFill="1" applyBorder="1" applyProtection="1">
      <protection hidden="1"/>
    </xf>
    <xf numFmtId="0" fontId="9" fillId="6" borderId="22" xfId="0" applyFont="1" applyFill="1" applyBorder="1" applyProtection="1">
      <protection hidden="1"/>
    </xf>
    <xf numFmtId="168" fontId="9" fillId="6" borderId="22" xfId="0" applyNumberFormat="1" applyFont="1" applyFill="1" applyBorder="1" applyAlignment="1" applyProtection="1">
      <alignment horizontal="right"/>
      <protection hidden="1"/>
    </xf>
    <xf numFmtId="169" fontId="9" fillId="6" borderId="20" xfId="0" applyNumberFormat="1" applyFont="1" applyFill="1" applyBorder="1" applyProtection="1">
      <protection hidden="1"/>
    </xf>
    <xf numFmtId="0" fontId="15" fillId="6" borderId="22" xfId="0" applyFont="1" applyFill="1" applyBorder="1" applyProtection="1">
      <protection hidden="1"/>
    </xf>
    <xf numFmtId="0" fontId="14" fillId="6" borderId="10" xfId="0" applyFont="1" applyFill="1" applyBorder="1" applyProtection="1">
      <protection hidden="1"/>
    </xf>
    <xf numFmtId="169" fontId="8" fillId="6" borderId="1" xfId="0" applyNumberFormat="1" applyFont="1" applyFill="1" applyBorder="1" applyProtection="1">
      <protection hidden="1"/>
    </xf>
    <xf numFmtId="168" fontId="9" fillId="6" borderId="21" xfId="0" applyNumberFormat="1" applyFont="1" applyFill="1" applyBorder="1" applyAlignment="1" applyProtection="1">
      <alignment horizontal="left"/>
      <protection hidden="1"/>
    </xf>
    <xf numFmtId="169" fontId="9" fillId="6" borderId="22" xfId="0" applyNumberFormat="1" applyFont="1" applyFill="1" applyBorder="1" applyAlignment="1" applyProtection="1">
      <alignment horizontal="right"/>
      <protection hidden="1"/>
    </xf>
    <xf numFmtId="169" fontId="14" fillId="6" borderId="22" xfId="1" applyNumberFormat="1" applyFont="1" applyFill="1" applyBorder="1" applyAlignment="1" applyProtection="1">
      <alignment horizontal="right"/>
      <protection hidden="1"/>
    </xf>
    <xf numFmtId="0" fontId="14" fillId="6" borderId="22" xfId="0" applyFont="1" applyFill="1" applyBorder="1" applyAlignment="1" applyProtection="1">
      <alignment horizontal="right"/>
      <protection hidden="1"/>
    </xf>
    <xf numFmtId="169" fontId="9" fillId="6" borderId="20" xfId="0" applyNumberFormat="1" applyFont="1" applyFill="1" applyBorder="1" applyAlignment="1" applyProtection="1">
      <alignment horizontal="right"/>
      <protection hidden="1"/>
    </xf>
    <xf numFmtId="0" fontId="9" fillId="6" borderId="20" xfId="0" applyFont="1" applyFill="1" applyBorder="1" applyProtection="1">
      <protection hidden="1"/>
    </xf>
    <xf numFmtId="169" fontId="14" fillId="6" borderId="10" xfId="0" applyNumberFormat="1" applyFont="1" applyFill="1" applyBorder="1" applyProtection="1">
      <protection hidden="1"/>
    </xf>
    <xf numFmtId="170" fontId="18" fillId="5" borderId="10" xfId="0" applyNumberFormat="1" applyFont="1" applyFill="1" applyBorder="1" applyAlignment="1" applyProtection="1">
      <alignment shrinkToFit="1"/>
      <protection hidden="1"/>
    </xf>
    <xf numFmtId="169" fontId="18" fillId="5" borderId="1" xfId="0" quotePrefix="1" applyNumberFormat="1" applyFont="1" applyFill="1" applyBorder="1" applyAlignment="1" applyProtection="1">
      <protection hidden="1"/>
    </xf>
    <xf numFmtId="169" fontId="23" fillId="0" borderId="11" xfId="0" applyNumberFormat="1" applyFont="1" applyFill="1" applyBorder="1" applyProtection="1">
      <protection hidden="1"/>
    </xf>
    <xf numFmtId="0" fontId="14" fillId="5" borderId="1" xfId="0" applyFont="1" applyFill="1" applyBorder="1" applyAlignment="1" applyProtection="1">
      <alignment horizontal="center"/>
      <protection hidden="1"/>
    </xf>
    <xf numFmtId="7" fontId="14" fillId="5" borderId="1" xfId="0" applyNumberFormat="1" applyFont="1" applyFill="1" applyBorder="1" applyAlignment="1" applyProtection="1">
      <protection hidden="1"/>
    </xf>
    <xf numFmtId="0" fontId="10" fillId="3" borderId="2" xfId="0" applyFont="1" applyFill="1" applyBorder="1" applyAlignment="1" applyProtection="1">
      <alignment horizontal="center" wrapText="1"/>
      <protection hidden="1"/>
    </xf>
    <xf numFmtId="0" fontId="10" fillId="3" borderId="19" xfId="0" applyFont="1" applyFill="1" applyBorder="1" applyAlignment="1" applyProtection="1">
      <alignment horizontal="center" vertical="top" wrapText="1"/>
      <protection hidden="1"/>
    </xf>
    <xf numFmtId="0" fontId="10" fillId="3" borderId="5" xfId="0" applyFont="1" applyFill="1" applyBorder="1" applyAlignment="1" applyProtection="1">
      <alignment horizontal="center" vertical="center"/>
      <protection hidden="1"/>
    </xf>
    <xf numFmtId="0" fontId="10" fillId="3" borderId="20" xfId="0" applyFont="1" applyFill="1" applyBorder="1" applyAlignment="1" applyProtection="1">
      <alignment horizontal="center" wrapText="1"/>
      <protection hidden="1"/>
    </xf>
    <xf numFmtId="0" fontId="10" fillId="0" borderId="16" xfId="0" applyFont="1" applyBorder="1" applyAlignment="1" applyProtection="1">
      <alignment horizontal="center"/>
      <protection hidden="1"/>
    </xf>
    <xf numFmtId="166" fontId="10" fillId="0" borderId="0" xfId="0" applyNumberFormat="1" applyFont="1" applyBorder="1" applyAlignment="1" applyProtection="1">
      <alignment horizontal="center"/>
      <protection hidden="1"/>
    </xf>
    <xf numFmtId="0" fontId="10" fillId="0" borderId="1" xfId="0" applyFont="1" applyBorder="1" applyAlignment="1" applyProtection="1">
      <alignment horizontal="center"/>
      <protection hidden="1"/>
    </xf>
    <xf numFmtId="10" fontId="0" fillId="0" borderId="0" xfId="0" applyNumberFormat="1"/>
    <xf numFmtId="0" fontId="14" fillId="0" borderId="0" xfId="0" applyFont="1" applyAlignment="1">
      <alignment vertical="justify" wrapText="1"/>
    </xf>
    <xf numFmtId="173" fontId="0" fillId="0" borderId="0" xfId="0" applyNumberFormat="1"/>
    <xf numFmtId="166" fontId="0" fillId="0" borderId="0" xfId="0" applyNumberFormat="1"/>
    <xf numFmtId="174" fontId="1" fillId="0" borderId="0" xfId="0" applyNumberFormat="1" applyFont="1"/>
    <xf numFmtId="166" fontId="14" fillId="0" borderId="17" xfId="0" applyNumberFormat="1" applyFont="1" applyBorder="1" applyAlignment="1" applyProtection="1">
      <alignment horizontal="center"/>
      <protection hidden="1"/>
    </xf>
    <xf numFmtId="0" fontId="0" fillId="8" borderId="0" xfId="0" applyFill="1"/>
    <xf numFmtId="0" fontId="5" fillId="0" borderId="0" xfId="0" applyFont="1" applyProtection="1"/>
    <xf numFmtId="0" fontId="11" fillId="0" borderId="0" xfId="0" applyFont="1" applyAlignment="1" applyProtection="1">
      <alignment horizontal="center" vertical="center"/>
      <protection hidden="1"/>
    </xf>
    <xf numFmtId="0" fontId="24" fillId="4" borderId="9" xfId="0" applyFont="1" applyFill="1" applyBorder="1" applyAlignment="1" applyProtection="1">
      <alignment horizontal="center"/>
      <protection locked="0"/>
    </xf>
    <xf numFmtId="0" fontId="25" fillId="4" borderId="10" xfId="0" applyFont="1" applyFill="1" applyBorder="1" applyAlignment="1" applyProtection="1">
      <alignment horizontal="center"/>
      <protection locked="0"/>
    </xf>
    <xf numFmtId="0" fontId="25" fillId="4" borderId="11" xfId="0" applyFont="1" applyFill="1" applyBorder="1" applyAlignment="1" applyProtection="1">
      <alignment horizontal="center"/>
      <protection locked="0"/>
    </xf>
    <xf numFmtId="0" fontId="11" fillId="7" borderId="9" xfId="0" applyFont="1" applyFill="1" applyBorder="1" applyAlignment="1" applyProtection="1">
      <alignment horizontal="center" vertical="center"/>
    </xf>
    <xf numFmtId="0" fontId="11" fillId="7" borderId="10" xfId="0" applyFont="1" applyFill="1" applyBorder="1" applyAlignment="1" applyProtection="1">
      <alignment horizontal="center" vertical="center"/>
    </xf>
    <xf numFmtId="0" fontId="11" fillId="7" borderId="11" xfId="0" applyFont="1" applyFill="1" applyBorder="1" applyAlignment="1" applyProtection="1">
      <alignment horizontal="center" vertical="center"/>
    </xf>
    <xf numFmtId="1" fontId="10" fillId="7" borderId="23" xfId="0" applyNumberFormat="1" applyFont="1" applyFill="1" applyBorder="1" applyAlignment="1" applyProtection="1">
      <alignment horizontal="center" vertical="center"/>
      <protection hidden="1"/>
    </xf>
    <xf numFmtId="1" fontId="10" fillId="7" borderId="24" xfId="0" applyNumberFormat="1" applyFont="1" applyFill="1" applyBorder="1" applyAlignment="1" applyProtection="1">
      <alignment horizontal="center" vertical="center"/>
      <protection hidden="1"/>
    </xf>
    <xf numFmtId="1" fontId="10" fillId="7" borderId="16" xfId="0" applyNumberFormat="1" applyFont="1" applyFill="1" applyBorder="1" applyAlignment="1" applyProtection="1">
      <alignment horizontal="center" vertical="center"/>
      <protection hidden="1"/>
    </xf>
    <xf numFmtId="1" fontId="10" fillId="7" borderId="6" xfId="0" applyNumberFormat="1" applyFont="1" applyFill="1" applyBorder="1" applyAlignment="1" applyProtection="1">
      <alignment horizontal="center" vertical="center"/>
      <protection hidden="1"/>
    </xf>
    <xf numFmtId="1" fontId="10" fillId="7" borderId="7" xfId="0" applyNumberFormat="1" applyFont="1" applyFill="1" applyBorder="1" applyAlignment="1" applyProtection="1">
      <alignment horizontal="center" vertical="center"/>
      <protection hidden="1"/>
    </xf>
    <xf numFmtId="1" fontId="10" fillId="7" borderId="8" xfId="0" applyNumberFormat="1" applyFont="1" applyFill="1" applyBorder="1" applyAlignment="1" applyProtection="1">
      <alignment horizontal="center" vertical="center"/>
      <protection hidden="1"/>
    </xf>
    <xf numFmtId="0" fontId="3" fillId="0" borderId="9" xfId="0" applyFont="1" applyBorder="1" applyAlignment="1" applyProtection="1">
      <alignment horizontal="center"/>
      <protection hidden="1"/>
    </xf>
    <xf numFmtId="0" fontId="3" fillId="0" borderId="10" xfId="0" applyFont="1" applyBorder="1" applyAlignment="1" applyProtection="1">
      <alignment horizontal="center"/>
      <protection hidden="1"/>
    </xf>
    <xf numFmtId="0" fontId="3" fillId="0" borderId="11" xfId="0" applyFont="1" applyBorder="1" applyAlignment="1" applyProtection="1">
      <alignment horizontal="center"/>
      <protection hidden="1"/>
    </xf>
    <xf numFmtId="0" fontId="10" fillId="7" borderId="23" xfId="0" applyFont="1" applyFill="1" applyBorder="1" applyAlignment="1" applyProtection="1">
      <alignment horizontal="center" vertical="center"/>
    </xf>
    <xf numFmtId="0" fontId="10" fillId="7" borderId="16" xfId="0" applyFont="1" applyFill="1" applyBorder="1" applyAlignment="1" applyProtection="1">
      <alignment horizontal="center" vertical="center"/>
    </xf>
    <xf numFmtId="0" fontId="10" fillId="7" borderId="6" xfId="0" applyFont="1" applyFill="1" applyBorder="1" applyAlignment="1" applyProtection="1">
      <alignment horizontal="center" vertical="center"/>
    </xf>
    <xf numFmtId="0" fontId="10" fillId="7" borderId="8" xfId="0" applyFont="1" applyFill="1" applyBorder="1" applyAlignment="1" applyProtection="1">
      <alignment horizontal="center" vertical="center"/>
    </xf>
    <xf numFmtId="0" fontId="3" fillId="5" borderId="3" xfId="0" applyFont="1" applyFill="1" applyBorder="1" applyAlignment="1" applyProtection="1">
      <alignment horizontal="center" vertical="top" wrapText="1"/>
    </xf>
    <xf numFmtId="0" fontId="3" fillId="5" borderId="0" xfId="0" applyFont="1" applyFill="1" applyBorder="1" applyAlignment="1" applyProtection="1">
      <alignment horizontal="center" vertical="top" wrapText="1"/>
    </xf>
    <xf numFmtId="0" fontId="3" fillId="5" borderId="4" xfId="0" applyFont="1" applyFill="1" applyBorder="1" applyAlignment="1" applyProtection="1">
      <alignment horizontal="center" vertical="top" wrapText="1"/>
    </xf>
    <xf numFmtId="0" fontId="3" fillId="0" borderId="0" xfId="0" applyFont="1" applyBorder="1" applyAlignment="1" applyProtection="1">
      <alignment horizontal="left" wrapText="1"/>
    </xf>
    <xf numFmtId="0" fontId="11" fillId="0" borderId="0" xfId="0" applyFont="1" applyAlignment="1" applyProtection="1">
      <alignment horizontal="center" vertical="center" wrapText="1"/>
      <protection hidden="1"/>
    </xf>
    <xf numFmtId="0" fontId="10" fillId="2" borderId="9" xfId="0" applyFont="1" applyFill="1" applyBorder="1" applyAlignment="1">
      <alignment horizontal="center"/>
    </xf>
    <xf numFmtId="0" fontId="10" fillId="2" borderId="10" xfId="0" applyFont="1" applyFill="1" applyBorder="1" applyAlignment="1">
      <alignment horizontal="center"/>
    </xf>
    <xf numFmtId="0" fontId="10" fillId="2" borderId="11" xfId="0" applyFont="1" applyFill="1" applyBorder="1" applyAlignment="1">
      <alignment horizontal="center"/>
    </xf>
    <xf numFmtId="0" fontId="5" fillId="6" borderId="9" xfId="0" applyFont="1" applyFill="1" applyBorder="1" applyAlignment="1" applyProtection="1">
      <alignment horizontal="center"/>
    </xf>
    <xf numFmtId="0" fontId="5" fillId="6" borderId="10" xfId="0" applyFont="1" applyFill="1" applyBorder="1" applyAlignment="1" applyProtection="1">
      <alignment horizontal="center"/>
    </xf>
    <xf numFmtId="0" fontId="5" fillId="6" borderId="11" xfId="0" applyFont="1" applyFill="1" applyBorder="1" applyAlignment="1" applyProtection="1">
      <alignment horizontal="center"/>
    </xf>
    <xf numFmtId="0" fontId="10" fillId="5" borderId="3" xfId="0" applyFont="1" applyFill="1" applyBorder="1" applyAlignment="1" applyProtection="1">
      <alignment horizontal="center" wrapText="1"/>
    </xf>
    <xf numFmtId="0" fontId="10" fillId="5" borderId="0" xfId="0" applyFont="1" applyFill="1" applyBorder="1" applyAlignment="1" applyProtection="1">
      <alignment horizontal="center" wrapText="1"/>
    </xf>
    <xf numFmtId="0" fontId="10" fillId="5" borderId="4" xfId="0" applyFont="1" applyFill="1" applyBorder="1" applyAlignment="1" applyProtection="1">
      <alignment horizontal="center" wrapText="1"/>
    </xf>
    <xf numFmtId="0" fontId="5" fillId="3" borderId="23" xfId="0" applyFont="1" applyFill="1" applyBorder="1" applyAlignment="1" applyProtection="1">
      <alignment horizontal="center" vertical="center"/>
      <protection hidden="1"/>
    </xf>
    <xf numFmtId="0" fontId="5" fillId="3" borderId="24" xfId="0" applyFont="1" applyFill="1" applyBorder="1" applyAlignment="1" applyProtection="1">
      <alignment horizontal="center" vertical="center"/>
      <protection hidden="1"/>
    </xf>
    <xf numFmtId="0" fontId="5" fillId="3" borderId="16"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0" fontId="5" fillId="3" borderId="7" xfId="0" applyFont="1" applyFill="1" applyBorder="1" applyAlignment="1" applyProtection="1">
      <alignment horizontal="center" vertical="center"/>
      <protection hidden="1"/>
    </xf>
    <xf numFmtId="0" fontId="5" fillId="3" borderId="8" xfId="0" applyFont="1" applyFill="1" applyBorder="1" applyAlignment="1" applyProtection="1">
      <alignment horizontal="center" vertical="center"/>
      <protection hidden="1"/>
    </xf>
    <xf numFmtId="0" fontId="14" fillId="0" borderId="0" xfId="0" applyFont="1" applyAlignment="1">
      <alignment horizontal="justify" vertical="justify" wrapText="1"/>
    </xf>
    <xf numFmtId="0" fontId="23" fillId="0" borderId="9" xfId="0" quotePrefix="1" applyNumberFormat="1" applyFont="1" applyFill="1" applyBorder="1" applyAlignment="1" applyProtection="1">
      <alignment horizontal="left"/>
      <protection locked="0"/>
    </xf>
  </cellXfs>
  <cellStyles count="3">
    <cellStyle name="Currency" xfId="1" builtinId="4"/>
    <cellStyle name="Hyperlink" xfId="2" builtinId="8"/>
    <cellStyle name="Normal" xfId="0" builtinId="0"/>
  </cellStyles>
  <dxfs count="5">
    <dxf>
      <font>
        <strike val="0"/>
        <outline val="0"/>
        <shadow val="0"/>
        <u val="none"/>
        <vertAlign val="baseline"/>
        <sz val="10"/>
        <color rgb="FF00B050"/>
        <name val="Arial"/>
        <scheme val="none"/>
      </font>
      <numFmt numFmtId="164" formatCode="&quot;$&quot;#,##0.00;[Red]\-&quot;$&quot;#,##0.00"/>
    </dxf>
    <dxf>
      <font>
        <strike val="0"/>
        <outline val="0"/>
        <shadow val="0"/>
        <u val="none"/>
        <vertAlign val="baseline"/>
        <sz val="10"/>
        <color rgb="FF00B050"/>
        <name val="Arial"/>
        <scheme val="none"/>
      </font>
      <numFmt numFmtId="164" formatCode="&quot;$&quot;#,##0.00;[Red]\-&quot;$&quot;#,##0.00"/>
    </dxf>
    <dxf>
      <font>
        <strike val="0"/>
        <outline val="0"/>
        <shadow val="0"/>
        <u val="none"/>
        <vertAlign val="baseline"/>
        <sz val="10"/>
        <color rgb="FF00B050"/>
        <name val="Arial"/>
        <scheme val="none"/>
      </font>
    </dxf>
    <dxf>
      <font>
        <strike val="0"/>
        <outline val="0"/>
        <shadow val="0"/>
        <u val="none"/>
        <vertAlign val="baseline"/>
        <sz val="10"/>
        <color rgb="FF00B050"/>
        <name val="Arial"/>
        <scheme val="none"/>
      </font>
    </dxf>
    <dxf>
      <font>
        <color theme="0"/>
      </font>
      <fill>
        <patternFill patternType="solid">
          <fgColor theme="0"/>
          <bgColor theme="0"/>
        </patternFill>
      </fill>
      <border>
        <left/>
        <right/>
        <top/>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max" displayName="tablemax" ref="K5:M39" totalsRowShown="0" dataDxfId="3">
  <autoFilter ref="K5:M39"/>
  <tableColumns count="3">
    <tableColumn id="1" name="Année" dataDxfId="2"/>
    <tableColumn id="2" name="Plafond des PD" dataDxfId="1"/>
    <tableColumn id="3" name="Salaire max" dataDxfId="0">
      <calculatedColumnFormula>+tablemax[[#This Row],[Plafond des PD]]/0.02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ww.canada.ca/en/revenue-agency/services/tax/registered-plans-administrators/pspa/mp-rrsp-dpsp-tfsa-limits-ymp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71"/>
  <sheetViews>
    <sheetView showGridLines="0" tabSelected="1" topLeftCell="A3" zoomScale="115" zoomScaleNormal="115" workbookViewId="0">
      <selection activeCell="F19" sqref="F19"/>
    </sheetView>
  </sheetViews>
  <sheetFormatPr defaultColWidth="0" defaultRowHeight="12.75" zeroHeight="1" x14ac:dyDescent="0.2"/>
  <cols>
    <col min="1" max="1" width="27" customWidth="1"/>
    <col min="2" max="3" width="21.5703125" customWidth="1"/>
    <col min="4" max="4" width="18.28515625" customWidth="1"/>
    <col min="5" max="6" width="20.85546875" customWidth="1"/>
    <col min="7" max="7" width="15.5703125" customWidth="1"/>
    <col min="8" max="9" width="11.42578125" hidden="1" customWidth="1"/>
    <col min="10" max="10" width="12.28515625" hidden="1" customWidth="1"/>
    <col min="11" max="16384" width="11.42578125" hidden="1"/>
  </cols>
  <sheetData>
    <row r="1" spans="1:17" ht="31.5" customHeight="1" x14ac:dyDescent="0.3">
      <c r="A1" s="133" t="s">
        <v>63</v>
      </c>
      <c r="B1" s="133"/>
      <c r="C1" s="133"/>
      <c r="D1" s="133"/>
      <c r="E1" s="133"/>
      <c r="F1" s="10"/>
      <c r="G1" s="10"/>
      <c r="M1" s="125">
        <v>0</v>
      </c>
    </row>
    <row r="2" spans="1:17" ht="38.25" customHeight="1" x14ac:dyDescent="0.2">
      <c r="A2" s="157" t="s">
        <v>65</v>
      </c>
      <c r="B2" s="157"/>
      <c r="C2" s="157"/>
      <c r="D2" s="157"/>
      <c r="E2" s="157"/>
      <c r="F2" s="157"/>
      <c r="G2" s="157"/>
      <c r="M2" s="125">
        <v>0</v>
      </c>
    </row>
    <row r="3" spans="1:17" ht="16.5" thickBot="1" x14ac:dyDescent="0.3">
      <c r="A3" s="11"/>
      <c r="B3" s="11"/>
      <c r="C3" s="11"/>
      <c r="D3" s="11"/>
      <c r="E3" s="12"/>
      <c r="F3" s="13"/>
      <c r="G3" s="13"/>
      <c r="M3" s="125">
        <f>+M1+0.0025</f>
        <v>2.5000000000000001E-3</v>
      </c>
    </row>
    <row r="4" spans="1:17" ht="18.75" thickBot="1" x14ac:dyDescent="0.3">
      <c r="A4" s="55" t="s">
        <v>16</v>
      </c>
      <c r="B4" s="134"/>
      <c r="C4" s="135"/>
      <c r="D4" s="136"/>
      <c r="E4" s="12"/>
      <c r="F4" s="13"/>
      <c r="G4" s="13"/>
      <c r="M4" s="125">
        <f t="shared" ref="M4:M18" si="0">+M3+0.0025</f>
        <v>5.0000000000000001E-3</v>
      </c>
      <c r="P4">
        <v>1</v>
      </c>
      <c r="Q4" s="129" t="s">
        <v>49</v>
      </c>
    </row>
    <row r="5" spans="1:17" ht="15.75" x14ac:dyDescent="0.25">
      <c r="A5" s="11"/>
      <c r="B5" s="11"/>
      <c r="C5" s="11"/>
      <c r="D5" s="11"/>
      <c r="E5" s="12"/>
      <c r="F5" s="13"/>
      <c r="G5" s="13"/>
      <c r="M5" s="125">
        <f t="shared" si="0"/>
        <v>7.4999999999999997E-3</v>
      </c>
      <c r="P5">
        <f>+P4+1</f>
        <v>2</v>
      </c>
      <c r="Q5" s="129" t="s">
        <v>50</v>
      </c>
    </row>
    <row r="6" spans="1:17" ht="13.5" thickBot="1" x14ac:dyDescent="0.25">
      <c r="A6" s="13"/>
      <c r="B6" s="13"/>
      <c r="C6" s="13"/>
      <c r="D6" s="13"/>
      <c r="E6" s="13"/>
      <c r="F6" s="13"/>
      <c r="G6" s="13"/>
      <c r="M6" s="125">
        <f t="shared" si="0"/>
        <v>0.01</v>
      </c>
      <c r="P6">
        <f t="shared" ref="P6:P14" si="1">+P5+1</f>
        <v>3</v>
      </c>
      <c r="Q6" s="129" t="s">
        <v>51</v>
      </c>
    </row>
    <row r="7" spans="1:17" ht="15.75" thickBot="1" x14ac:dyDescent="0.3">
      <c r="A7" s="124" t="s">
        <v>29</v>
      </c>
      <c r="B7" s="122" t="s">
        <v>2</v>
      </c>
      <c r="C7" s="14"/>
      <c r="D7" s="13"/>
      <c r="E7" s="13"/>
      <c r="F7" s="13"/>
      <c r="G7" s="13"/>
      <c r="J7" s="128"/>
      <c r="M7" s="125">
        <f t="shared" si="0"/>
        <v>1.2500000000000001E-2</v>
      </c>
      <c r="P7">
        <f t="shared" si="1"/>
        <v>4</v>
      </c>
      <c r="Q7" s="129" t="s">
        <v>52</v>
      </c>
    </row>
    <row r="8" spans="1:17" ht="15.75" thickBot="1" x14ac:dyDescent="0.25">
      <c r="A8" s="51"/>
      <c r="B8" s="130" t="str">
        <f>"1 mai ou 1 juillet "&amp;Calculatrice!A4</f>
        <v>1 mai ou 1 juillet 2020</v>
      </c>
      <c r="C8" s="14"/>
      <c r="D8" s="13"/>
      <c r="E8" s="13"/>
      <c r="F8" s="13"/>
      <c r="G8" s="13"/>
      <c r="J8" s="127"/>
      <c r="M8" s="125">
        <f t="shared" si="0"/>
        <v>1.5000000000000001E-2</v>
      </c>
      <c r="P8">
        <f t="shared" si="1"/>
        <v>5</v>
      </c>
      <c r="Q8" s="129" t="s">
        <v>53</v>
      </c>
    </row>
    <row r="9" spans="1:17" ht="15.75" thickBot="1" x14ac:dyDescent="0.25">
      <c r="A9" s="51"/>
      <c r="B9" s="130" t="str">
        <f>"1 mai ou 1 juillet "&amp;Calculatrice!A5</f>
        <v>1 mai ou 1 juillet 2021</v>
      </c>
      <c r="C9" s="15"/>
      <c r="D9" s="16"/>
      <c r="E9" s="16"/>
      <c r="F9" s="16"/>
      <c r="G9" s="13"/>
      <c r="M9" s="125">
        <f t="shared" si="0"/>
        <v>1.7500000000000002E-2</v>
      </c>
      <c r="P9">
        <f t="shared" si="1"/>
        <v>6</v>
      </c>
      <c r="Q9" s="129" t="s">
        <v>54</v>
      </c>
    </row>
    <row r="10" spans="1:17" ht="15" x14ac:dyDescent="0.2">
      <c r="A10" s="51"/>
      <c r="B10" s="130" t="str">
        <f>"1 mai ou 1 juillet "&amp;Calculatrice!A6</f>
        <v>1 mai ou 1 juillet 2022</v>
      </c>
      <c r="C10" s="15"/>
      <c r="D10" s="16"/>
      <c r="E10" s="16"/>
      <c r="F10" s="16"/>
      <c r="G10" s="13"/>
      <c r="M10" s="125">
        <f t="shared" si="0"/>
        <v>0.02</v>
      </c>
      <c r="P10">
        <f t="shared" si="1"/>
        <v>7</v>
      </c>
      <c r="Q10" s="129" t="s">
        <v>55</v>
      </c>
    </row>
    <row r="11" spans="1:17" ht="15" x14ac:dyDescent="0.25">
      <c r="A11" s="17"/>
      <c r="B11" s="123"/>
      <c r="C11" s="15"/>
      <c r="D11" s="16"/>
      <c r="E11" s="16"/>
      <c r="F11" s="16"/>
      <c r="G11" s="13"/>
      <c r="M11" s="125">
        <f t="shared" si="0"/>
        <v>2.2499999999999999E-2</v>
      </c>
      <c r="P11">
        <f t="shared" si="1"/>
        <v>8</v>
      </c>
      <c r="Q11" s="129" t="s">
        <v>56</v>
      </c>
    </row>
    <row r="12" spans="1:17" ht="13.5" thickBot="1" x14ac:dyDescent="0.25">
      <c r="A12" s="13"/>
      <c r="B12" s="13"/>
      <c r="C12" s="13"/>
      <c r="D12" s="13"/>
      <c r="E12" s="16"/>
      <c r="F12" s="16"/>
      <c r="G12" s="13"/>
      <c r="M12" s="125">
        <f t="shared" si="0"/>
        <v>2.4999999999999998E-2</v>
      </c>
      <c r="P12">
        <f t="shared" si="1"/>
        <v>9</v>
      </c>
      <c r="Q12" s="129" t="s">
        <v>57</v>
      </c>
    </row>
    <row r="13" spans="1:17" ht="15.75" thickBot="1" x14ac:dyDescent="0.25">
      <c r="A13" s="146" t="s">
        <v>33</v>
      </c>
      <c r="B13" s="147"/>
      <c r="C13" s="148"/>
      <c r="D13" s="49">
        <v>0</v>
      </c>
      <c r="E13" s="16"/>
      <c r="F13" s="16"/>
      <c r="G13" s="13"/>
      <c r="M13" s="125">
        <f t="shared" si="0"/>
        <v>2.7499999999999997E-2</v>
      </c>
      <c r="P13">
        <f t="shared" si="1"/>
        <v>10</v>
      </c>
      <c r="Q13" s="129" t="s">
        <v>58</v>
      </c>
    </row>
    <row r="14" spans="1:17" ht="24.75" customHeight="1" x14ac:dyDescent="0.2">
      <c r="A14" s="156" t="s">
        <v>62</v>
      </c>
      <c r="B14" s="156"/>
      <c r="C14" s="156"/>
      <c r="D14" s="156"/>
      <c r="E14" s="156"/>
      <c r="F14" s="156"/>
      <c r="G14" s="156"/>
      <c r="M14" s="125">
        <f t="shared" si="0"/>
        <v>2.9999999999999995E-2</v>
      </c>
      <c r="P14">
        <f t="shared" si="1"/>
        <v>11</v>
      </c>
      <c r="Q14" s="129" t="s">
        <v>59</v>
      </c>
    </row>
    <row r="15" spans="1:17" ht="13.5" thickBot="1" x14ac:dyDescent="0.25">
      <c r="A15" s="18"/>
      <c r="B15" s="19"/>
      <c r="C15" s="20"/>
      <c r="D15" s="16"/>
      <c r="E15" s="16"/>
      <c r="F15" s="16"/>
      <c r="G15" s="13"/>
      <c r="M15" s="125">
        <f t="shared" si="0"/>
        <v>3.2499999999999994E-2</v>
      </c>
      <c r="P15">
        <f t="shared" ref="P15" si="2">+P14+1</f>
        <v>12</v>
      </c>
      <c r="Q15" s="129" t="s">
        <v>60</v>
      </c>
    </row>
    <row r="16" spans="1:17" ht="15.75" customHeight="1" x14ac:dyDescent="0.2">
      <c r="A16" s="167" t="str">
        <f>"Nombre d'années de service créditées selon l'information du dernier relevé de l'Assomption Vie ("&amp;Calculatrice!A6&amp;")"</f>
        <v>Nombre d'années de service créditées selon l'information du dernier relevé de l'Assomption Vie (2022)</v>
      </c>
      <c r="B16" s="168"/>
      <c r="C16" s="168"/>
      <c r="D16" s="168"/>
      <c r="E16" s="168"/>
      <c r="F16" s="168"/>
      <c r="G16" s="169"/>
      <c r="M16" s="125">
        <f t="shared" si="0"/>
        <v>3.4999999999999996E-2</v>
      </c>
    </row>
    <row r="17" spans="1:13" ht="13.5" thickBot="1" x14ac:dyDescent="0.25">
      <c r="A17" s="170"/>
      <c r="B17" s="171"/>
      <c r="C17" s="171"/>
      <c r="D17" s="171"/>
      <c r="E17" s="171"/>
      <c r="F17" s="171"/>
      <c r="G17" s="172"/>
      <c r="M17" s="125">
        <f t="shared" si="0"/>
        <v>3.7499999999999999E-2</v>
      </c>
    </row>
    <row r="18" spans="1:13" ht="30" x14ac:dyDescent="0.25">
      <c r="A18" s="118" t="s">
        <v>17</v>
      </c>
      <c r="B18" s="118" t="s">
        <v>21</v>
      </c>
      <c r="C18" s="118" t="s">
        <v>18</v>
      </c>
      <c r="D18" s="118" t="s">
        <v>20</v>
      </c>
      <c r="E18" s="119" t="s">
        <v>35</v>
      </c>
      <c r="F18" s="119" t="s">
        <v>36</v>
      </c>
      <c r="G18" s="120" t="s">
        <v>22</v>
      </c>
      <c r="M18" s="125">
        <f t="shared" si="0"/>
        <v>0.04</v>
      </c>
    </row>
    <row r="19" spans="1:13" ht="15.75" thickBot="1" x14ac:dyDescent="0.25">
      <c r="A19" s="81"/>
      <c r="B19" s="82"/>
      <c r="C19" s="83"/>
      <c r="D19" s="82"/>
      <c r="E19" s="82"/>
      <c r="F19" s="82"/>
      <c r="G19" s="83"/>
    </row>
    <row r="20" spans="1:13" ht="60.75" thickBot="1" x14ac:dyDescent="0.3">
      <c r="A20" s="22"/>
      <c r="B20" s="23"/>
      <c r="C20" s="56"/>
      <c r="D20" s="24"/>
      <c r="E20" s="24"/>
      <c r="F20" s="52"/>
      <c r="G20" s="121" t="s">
        <v>64</v>
      </c>
    </row>
    <row r="21" spans="1:13" ht="15.75" thickBot="1" x14ac:dyDescent="0.25">
      <c r="A21" s="22"/>
      <c r="B21" s="23"/>
      <c r="C21" s="56"/>
      <c r="D21" s="24"/>
      <c r="E21" s="24"/>
      <c r="F21" s="24"/>
      <c r="G21" s="53"/>
    </row>
    <row r="22" spans="1:13" ht="15" x14ac:dyDescent="0.25">
      <c r="A22" s="22"/>
      <c r="B22" s="21" t="s">
        <v>25</v>
      </c>
      <c r="C22" s="26" t="s">
        <v>0</v>
      </c>
      <c r="D22" s="23"/>
      <c r="E22" s="24"/>
      <c r="F22" s="24"/>
      <c r="G22" s="25"/>
    </row>
    <row r="23" spans="1:13" ht="15.75" thickBot="1" x14ac:dyDescent="0.3">
      <c r="A23" s="27" t="s">
        <v>19</v>
      </c>
      <c r="B23" s="44"/>
      <c r="C23" s="45"/>
      <c r="D23" s="28"/>
      <c r="E23" s="29"/>
      <c r="F23" s="29"/>
      <c r="G23" s="30"/>
    </row>
    <row r="24" spans="1:13" x14ac:dyDescent="0.2">
      <c r="A24" s="31" t="s">
        <v>61</v>
      </c>
      <c r="B24" s="54" t="s">
        <v>23</v>
      </c>
      <c r="C24" s="54" t="s">
        <v>24</v>
      </c>
    </row>
    <row r="25" spans="1:13" ht="16.5" thickBot="1" x14ac:dyDescent="0.3">
      <c r="A25" s="132" t="str">
        <f>IF(G21=0,"Veuillez remplir la  case de la ""Rente annuelle depuis 2014"" afin de continuer.","")</f>
        <v>Veuillez remplir la  case de la "Rente annuelle depuis 2014" afin de continuer.</v>
      </c>
      <c r="B25" s="13"/>
      <c r="C25" s="13"/>
      <c r="D25" s="13"/>
      <c r="F25" s="13"/>
      <c r="G25" s="13"/>
    </row>
    <row r="26" spans="1:13" ht="16.5" thickBot="1" x14ac:dyDescent="0.3">
      <c r="A26" s="60" t="s">
        <v>26</v>
      </c>
      <c r="B26" s="46">
        <v>2038</v>
      </c>
      <c r="C26" s="47">
        <v>1</v>
      </c>
      <c r="D26" s="48"/>
      <c r="E26" s="13"/>
      <c r="F26" s="91"/>
      <c r="G26" s="13"/>
    </row>
    <row r="27" spans="1:13" x14ac:dyDescent="0.2">
      <c r="A27" s="31"/>
      <c r="B27" s="54" t="s">
        <v>23</v>
      </c>
      <c r="C27" s="54" t="s">
        <v>24</v>
      </c>
      <c r="D27" s="13"/>
      <c r="E27" s="13"/>
      <c r="F27" s="13"/>
      <c r="G27" s="13"/>
    </row>
    <row r="28" spans="1:13" hidden="1" x14ac:dyDescent="0.2">
      <c r="A28" s="13"/>
      <c r="B28" s="13"/>
      <c r="C28" s="13"/>
      <c r="D28" s="31"/>
      <c r="E28" s="13"/>
      <c r="F28" s="13"/>
      <c r="G28" s="13"/>
    </row>
    <row r="29" spans="1:13" ht="12.75" customHeight="1" thickBot="1" x14ac:dyDescent="0.25">
      <c r="A29" s="13"/>
      <c r="B29" s="13"/>
      <c r="C29" s="32"/>
      <c r="D29" s="33"/>
      <c r="E29" s="13"/>
      <c r="F29" s="13"/>
      <c r="G29" s="13"/>
    </row>
    <row r="30" spans="1:13" ht="12.75" hidden="1" customHeight="1" x14ac:dyDescent="0.2">
      <c r="A30" s="13" t="s">
        <v>4</v>
      </c>
      <c r="B30" s="13"/>
      <c r="C30" s="34" t="e">
        <f>MIN(60025,(((MIN(D37,85750)*(C19+D19+F19+G19+ROUND((DATE(B26,C26,1)-DATE(2018,1,1))/365.25,2))+MIN(D37,57500)*E19))*2%+((A19+B19)*MIN(D37,111364)*1.54%))*(1-E38*0.3%))</f>
        <v>#NUM!</v>
      </c>
      <c r="D30" s="33"/>
      <c r="E30" s="13"/>
      <c r="F30" s="13"/>
      <c r="G30" s="13"/>
    </row>
    <row r="31" spans="1:13" ht="12.75" hidden="1" customHeight="1" x14ac:dyDescent="0.2">
      <c r="A31" s="13"/>
      <c r="B31" s="13"/>
      <c r="C31" s="34"/>
      <c r="D31" s="33"/>
      <c r="E31" s="13"/>
      <c r="F31" s="13"/>
      <c r="G31" s="13"/>
    </row>
    <row r="32" spans="1:13" ht="12.75" hidden="1" customHeight="1" x14ac:dyDescent="0.2">
      <c r="A32" s="31" t="s">
        <v>11</v>
      </c>
      <c r="B32" s="13"/>
      <c r="C32" s="34" t="e">
        <f>MIN(60025,((MIN(D37,85750)*(C19+D19+F19)+MIN(D37,57500)*E19)*2%+(A19+B19)*MIN(111364,D37)*1.54%)*(1-E38*0.3%))</f>
        <v>#NUM!</v>
      </c>
      <c r="D32" s="34">
        <f>((MIN(D37,85750)*(C19+D19+F19)+MIN(D37,57500)*E19)*2%+(A19+B19)*MIN(D37,111364)*1.54%)</f>
        <v>0</v>
      </c>
      <c r="E32" s="13"/>
      <c r="F32" s="13"/>
      <c r="G32" s="13"/>
    </row>
    <row r="33" spans="1:9" ht="13.5" hidden="1" customHeight="1" thickBot="1" x14ac:dyDescent="0.25">
      <c r="A33" s="31" t="s">
        <v>12</v>
      </c>
      <c r="B33" s="13"/>
      <c r="C33" s="34" t="e">
        <f>(SUM(Calculatrice!C6:C55)*2%+$G$21)*(1-E38*0.3%)</f>
        <v>#NUM!</v>
      </c>
      <c r="D33" s="34">
        <f>(SUM(Calculatrice!C7:C55)*2%+$G$21)</f>
        <v>0</v>
      </c>
      <c r="E33" s="13"/>
      <c r="F33" s="13"/>
      <c r="G33" s="13"/>
      <c r="H33" s="9"/>
      <c r="I33" s="9"/>
    </row>
    <row r="34" spans="1:9" ht="13.5" hidden="1" customHeight="1" thickBot="1" x14ac:dyDescent="0.25">
      <c r="A34" s="35" t="s">
        <v>8</v>
      </c>
      <c r="B34" s="36"/>
      <c r="C34" s="37" t="e">
        <f>+C32+C33</f>
        <v>#NUM!</v>
      </c>
      <c r="D34" s="33"/>
      <c r="E34" s="13"/>
      <c r="F34" s="13"/>
      <c r="G34" s="13"/>
      <c r="H34" s="9"/>
      <c r="I34" s="9"/>
    </row>
    <row r="35" spans="1:9" ht="12.75" hidden="1" customHeight="1" x14ac:dyDescent="0.2">
      <c r="A35" s="13"/>
      <c r="B35" s="13"/>
      <c r="C35" s="34"/>
      <c r="D35" s="33"/>
      <c r="E35" s="13"/>
      <c r="F35" s="13"/>
      <c r="G35" s="13"/>
      <c r="H35" s="9"/>
      <c r="I35" s="9"/>
    </row>
    <row r="36" spans="1:9" ht="13.5" hidden="1" customHeight="1" thickBot="1" x14ac:dyDescent="0.25">
      <c r="A36" s="13" t="s">
        <v>7</v>
      </c>
      <c r="B36" s="13"/>
      <c r="C36" s="34" t="e">
        <f>+C34-C30</f>
        <v>#NUM!</v>
      </c>
      <c r="D36" s="33"/>
      <c r="E36" s="13"/>
      <c r="F36" s="13"/>
      <c r="G36" s="13"/>
      <c r="H36" s="9"/>
      <c r="I36" s="9"/>
    </row>
    <row r="37" spans="1:9" ht="24" customHeight="1" thickBot="1" x14ac:dyDescent="0.3">
      <c r="A37" s="164" t="s">
        <v>9</v>
      </c>
      <c r="B37" s="165"/>
      <c r="C37" s="166"/>
      <c r="D37" s="117">
        <f>MIN(IF(C26=1,AVERAGE(VLOOKUP(B26-3,Calculatrice!$A$4:$B$55,2,0),VLOOKUP(B26-2,Calculatrice!$A$4:$B$55,2,0),VLOOKUP(B26-1,Calculatrice!$A$4:$B$55,2,0)),AVERAGE(VLOOKUP(B26-3,Calculatrice!$A$4:$B$55,2,0)*(13-C26)/12+VLOOKUP(B26,Calculatrice!$A$4:$B$55,2,0)*(C26-1)/12,VLOOKUP(B26-2,Calculatrice!$A$4:$B$55,2,0),VLOOKUP(B26-1,Calculatrice!$A$4:$B$55,2,0))),IF(C26=1,VLOOKUP(B26-1,Calculatrice!A4:H55,8,0),VLOOKUP(B26,Calculatrice!A4:H55,8,0)))</f>
        <v>0</v>
      </c>
      <c r="E37" s="13"/>
      <c r="F37" s="13"/>
      <c r="G37" s="13"/>
      <c r="H37" s="9"/>
      <c r="I37" s="9"/>
    </row>
    <row r="38" spans="1:9" ht="27" customHeight="1" thickBot="1" x14ac:dyDescent="0.25">
      <c r="A38" s="153" t="s">
        <v>34</v>
      </c>
      <c r="B38" s="154"/>
      <c r="C38" s="154"/>
      <c r="D38" s="155"/>
      <c r="E38" s="116" t="e">
        <f>IF(MAX(ROUND((DATE(B23,C23,1)-DATE(B26,C26,1))/365.25*12,0),0)&gt;120,"Vous pouvez seulement vous retirer 10 ans avant votre date normale de retraite.",IF(MAX(ROUND((DATE(B23,C23,1)-DATE(B26,C26,1))/365.25*12,0),0)=0,0,ROUND((DATE(B23,C23,1)-DATE(B26,C26,1))/365.25*12,0)))</f>
        <v>#NUM!</v>
      </c>
      <c r="F38" s="13"/>
      <c r="G38" s="13"/>
      <c r="H38" s="9"/>
      <c r="I38" s="9"/>
    </row>
    <row r="39" spans="1:9" x14ac:dyDescent="0.2">
      <c r="A39" s="13"/>
      <c r="B39" s="13"/>
      <c r="C39" s="13"/>
      <c r="D39" s="38"/>
      <c r="E39" s="13"/>
      <c r="F39" s="13"/>
      <c r="G39" s="13"/>
      <c r="H39" s="9"/>
      <c r="I39" s="9"/>
    </row>
    <row r="40" spans="1:9" ht="13.5" thickBot="1" x14ac:dyDescent="0.25">
      <c r="A40" s="13"/>
      <c r="B40" s="13"/>
      <c r="C40" s="13"/>
      <c r="D40" s="38"/>
      <c r="E40" s="13"/>
      <c r="F40" s="13"/>
      <c r="G40" s="13"/>
      <c r="H40" s="9"/>
      <c r="I40" s="9"/>
    </row>
    <row r="41" spans="1:9" ht="37.5" hidden="1" customHeight="1" thickBot="1" x14ac:dyDescent="0.25">
      <c r="A41" s="137">
        <f>+B4</f>
        <v>0</v>
      </c>
      <c r="B41" s="138"/>
      <c r="C41" s="138"/>
      <c r="D41" s="138"/>
      <c r="E41" s="139"/>
      <c r="F41" s="13"/>
      <c r="G41" s="13"/>
      <c r="H41" s="9"/>
      <c r="I41" s="9"/>
    </row>
    <row r="42" spans="1:9" ht="37.5" hidden="1" customHeight="1" thickBot="1" x14ac:dyDescent="0.35">
      <c r="A42" s="39"/>
      <c r="B42" s="39"/>
      <c r="C42" s="39"/>
      <c r="D42" s="39"/>
      <c r="E42" s="39"/>
      <c r="F42" s="13"/>
      <c r="G42" s="13"/>
      <c r="H42" s="9"/>
      <c r="I42" s="9"/>
    </row>
    <row r="43" spans="1:9" ht="16.5" customHeight="1" x14ac:dyDescent="0.2">
      <c r="A43" s="149" t="s">
        <v>40</v>
      </c>
      <c r="B43" s="150"/>
      <c r="C43" s="140" t="str">
        <f>+D66</f>
        <v>1 janvier 2038</v>
      </c>
      <c r="D43" s="141"/>
      <c r="E43" s="142"/>
      <c r="F43" s="31"/>
      <c r="G43" s="13"/>
      <c r="H43" s="9"/>
      <c r="I43" s="9"/>
    </row>
    <row r="44" spans="1:9" ht="15" customHeight="1" thickBot="1" x14ac:dyDescent="0.25">
      <c r="A44" s="151"/>
      <c r="B44" s="152"/>
      <c r="C44" s="143"/>
      <c r="D44" s="144"/>
      <c r="E44" s="145"/>
      <c r="F44" s="13"/>
      <c r="G44" s="13"/>
      <c r="H44" s="9"/>
      <c r="I44" s="9"/>
    </row>
    <row r="45" spans="1:9" ht="15" hidden="1" x14ac:dyDescent="0.25">
      <c r="A45" s="40"/>
      <c r="B45" s="14"/>
      <c r="C45" s="14"/>
      <c r="D45" s="14"/>
      <c r="E45" s="14"/>
      <c r="F45" s="13"/>
      <c r="G45" s="13"/>
    </row>
    <row r="46" spans="1:9" ht="14.25" hidden="1" x14ac:dyDescent="0.2">
      <c r="A46" s="14"/>
      <c r="B46" s="14"/>
      <c r="C46" s="14"/>
      <c r="D46" s="14"/>
      <c r="E46" s="14"/>
      <c r="F46" s="13"/>
      <c r="G46" s="13"/>
      <c r="H46" s="9"/>
      <c r="I46" s="9"/>
    </row>
    <row r="47" spans="1:9" ht="28.5" customHeight="1" thickBot="1" x14ac:dyDescent="0.3">
      <c r="A47" s="161" t="s">
        <v>27</v>
      </c>
      <c r="B47" s="162"/>
      <c r="C47" s="162"/>
      <c r="D47" s="162"/>
      <c r="E47" s="163"/>
      <c r="F47" s="13"/>
      <c r="G47" s="13"/>
      <c r="H47" s="9"/>
      <c r="I47" s="9"/>
    </row>
    <row r="48" spans="1:9" ht="15" x14ac:dyDescent="0.25">
      <c r="A48" s="62"/>
      <c r="B48" s="63"/>
      <c r="C48" s="63"/>
      <c r="D48" s="95"/>
      <c r="E48" s="95"/>
      <c r="F48" s="13"/>
      <c r="G48" s="13"/>
      <c r="H48" s="9"/>
      <c r="I48" s="9"/>
    </row>
    <row r="49" spans="1:9" ht="15" x14ac:dyDescent="0.25">
      <c r="A49" s="64" t="str">
        <f>"Prestation annuelle le "&amp;D66&amp;" avant réduction"</f>
        <v>Prestation annuelle le 1 janvier 2038 avant réduction</v>
      </c>
      <c r="B49" s="65"/>
      <c r="C49" s="66"/>
      <c r="D49" s="96">
        <f>D32</f>
        <v>0</v>
      </c>
      <c r="E49" s="97"/>
      <c r="F49" s="13"/>
      <c r="G49" s="13"/>
      <c r="H49" s="9"/>
      <c r="I49" s="9"/>
    </row>
    <row r="50" spans="1:9" ht="14.25" x14ac:dyDescent="0.2">
      <c r="A50" s="63" t="s">
        <v>37</v>
      </c>
      <c r="B50" s="63"/>
      <c r="C50" s="63"/>
      <c r="D50" s="98" t="e">
        <f>+E38*0.003</f>
        <v>#NUM!</v>
      </c>
      <c r="E50" s="97"/>
      <c r="F50" s="13"/>
      <c r="G50" s="13"/>
      <c r="H50" s="9"/>
      <c r="I50" s="9"/>
    </row>
    <row r="51" spans="1:9" ht="15" x14ac:dyDescent="0.25">
      <c r="A51" s="64" t="s">
        <v>38</v>
      </c>
      <c r="B51" s="63"/>
      <c r="C51" s="63"/>
      <c r="D51" s="99" t="e">
        <f>D49*D50</f>
        <v>#NUM!</v>
      </c>
      <c r="E51" s="97"/>
      <c r="F51" s="13"/>
      <c r="G51" s="13"/>
    </row>
    <row r="52" spans="1:9" ht="14.25" x14ac:dyDescent="0.2">
      <c r="A52" s="63"/>
      <c r="B52" s="63"/>
      <c r="C52" s="63"/>
      <c r="D52" s="97"/>
      <c r="E52" s="100"/>
      <c r="F52" s="13"/>
      <c r="G52" s="13"/>
    </row>
    <row r="53" spans="1:9" ht="14.25" x14ac:dyDescent="0.2">
      <c r="A53" s="67" t="s">
        <v>31</v>
      </c>
      <c r="B53" s="65"/>
      <c r="C53" s="65"/>
      <c r="D53" s="101">
        <f>A19+B19+E19+F19+D19+C19</f>
        <v>0</v>
      </c>
      <c r="E53" s="100"/>
      <c r="F53" s="13"/>
      <c r="G53" s="13"/>
    </row>
    <row r="54" spans="1:9" ht="15.75" thickBot="1" x14ac:dyDescent="0.3">
      <c r="A54" s="68" t="s">
        <v>14</v>
      </c>
      <c r="B54" s="69"/>
      <c r="C54" s="69"/>
      <c r="D54" s="102">
        <f>MIN(D37,85750)</f>
        <v>0</v>
      </c>
      <c r="E54" s="103"/>
      <c r="F54" s="61"/>
      <c r="G54" s="13"/>
    </row>
    <row r="55" spans="1:9" ht="27" customHeight="1" thickBot="1" x14ac:dyDescent="0.3">
      <c r="A55" s="70" t="s">
        <v>41</v>
      </c>
      <c r="B55" s="71"/>
      <c r="C55" s="71"/>
      <c r="D55" s="104"/>
      <c r="E55" s="105" t="e">
        <f>+D49-D51</f>
        <v>#NUM!</v>
      </c>
      <c r="F55" s="13"/>
      <c r="G55" s="13"/>
    </row>
    <row r="56" spans="1:9" ht="15.75" thickBot="1" x14ac:dyDescent="0.3">
      <c r="A56" s="41"/>
      <c r="B56" s="42"/>
      <c r="C56" s="42"/>
      <c r="D56" s="43"/>
      <c r="E56" s="14"/>
      <c r="F56" s="13"/>
      <c r="G56" s="13"/>
    </row>
    <row r="57" spans="1:9" ht="28.5" customHeight="1" thickBot="1" x14ac:dyDescent="0.3">
      <c r="A57" s="72" t="s">
        <v>30</v>
      </c>
      <c r="B57" s="73"/>
      <c r="C57" s="73"/>
      <c r="D57" s="74"/>
      <c r="E57" s="75"/>
      <c r="F57" s="13"/>
      <c r="G57" s="13"/>
    </row>
    <row r="58" spans="1:9" ht="14.25" x14ac:dyDescent="0.2">
      <c r="A58" s="63"/>
      <c r="B58" s="63"/>
      <c r="C58" s="63"/>
      <c r="D58" s="95"/>
      <c r="E58" s="106"/>
      <c r="F58" s="13"/>
      <c r="G58" s="13"/>
    </row>
    <row r="59" spans="1:9" ht="15" x14ac:dyDescent="0.25">
      <c r="A59" s="84" t="str">
        <f>+A49</f>
        <v>Prestation annuelle le 1 janvier 2038 avant réduction</v>
      </c>
      <c r="B59" s="76"/>
      <c r="C59" s="76"/>
      <c r="D59" s="107">
        <f>D33</f>
        <v>0</v>
      </c>
      <c r="E59" s="97"/>
      <c r="F59" s="13"/>
      <c r="G59" s="13"/>
    </row>
    <row r="60" spans="1:9" ht="14.25" x14ac:dyDescent="0.2">
      <c r="A60" s="63" t="s">
        <v>39</v>
      </c>
      <c r="B60" s="76"/>
      <c r="C60" s="77"/>
      <c r="D60" s="98" t="e">
        <f>+D50</f>
        <v>#NUM!</v>
      </c>
      <c r="E60" s="97"/>
      <c r="F60" s="13"/>
      <c r="G60" s="13"/>
    </row>
    <row r="61" spans="1:9" ht="15" x14ac:dyDescent="0.25">
      <c r="A61" s="64" t="s">
        <v>38</v>
      </c>
      <c r="B61" s="76"/>
      <c r="C61" s="77"/>
      <c r="D61" s="108" t="e">
        <f>D59*D60</f>
        <v>#NUM!</v>
      </c>
      <c r="E61" s="97"/>
      <c r="F61" s="13"/>
      <c r="G61" s="13"/>
    </row>
    <row r="62" spans="1:9" ht="15" x14ac:dyDescent="0.25">
      <c r="A62" s="78"/>
      <c r="B62" s="65"/>
      <c r="C62" s="66"/>
      <c r="D62" s="109"/>
      <c r="E62" s="100"/>
      <c r="F62" s="13"/>
      <c r="G62" s="92"/>
    </row>
    <row r="63" spans="1:9" ht="14.25" x14ac:dyDescent="0.2">
      <c r="A63" s="63" t="s">
        <v>32</v>
      </c>
      <c r="B63" s="65"/>
      <c r="C63" s="66"/>
      <c r="D63" s="101">
        <f>ROUND(SUM(Calculatrice!D7:D55)+G19,2)</f>
        <v>15</v>
      </c>
      <c r="E63" s="100"/>
      <c r="F63" s="13"/>
      <c r="G63" s="13"/>
    </row>
    <row r="64" spans="1:9" ht="15.75" thickBot="1" x14ac:dyDescent="0.3">
      <c r="A64" s="68" t="s">
        <v>28</v>
      </c>
      <c r="B64" s="76"/>
      <c r="C64" s="77"/>
      <c r="D64" s="110">
        <f>SUM(Calculatrice!C4:C55)/SUM(Calculatrice!D4:D55)</f>
        <v>0</v>
      </c>
      <c r="E64" s="111"/>
      <c r="F64" s="13"/>
      <c r="G64" s="34"/>
    </row>
    <row r="65" spans="1:7" ht="23.25" customHeight="1" thickBot="1" x14ac:dyDescent="0.3">
      <c r="A65" s="70" t="s">
        <v>42</v>
      </c>
      <c r="B65" s="79"/>
      <c r="C65" s="79"/>
      <c r="D65" s="112"/>
      <c r="E65" s="105" t="e">
        <f>+D59-D61</f>
        <v>#NUM!</v>
      </c>
      <c r="F65" s="13"/>
      <c r="G65" s="34"/>
    </row>
    <row r="66" spans="1:7" ht="29.25" customHeight="1" thickBot="1" x14ac:dyDescent="0.3">
      <c r="A66" s="57" t="s">
        <v>43</v>
      </c>
      <c r="B66" s="58"/>
      <c r="C66" s="59"/>
      <c r="D66" s="113" t="str">
        <f>"1 "&amp;VLOOKUP($C$26,$P$4:$Q$15,2,0)&amp;" "&amp;$B$26</f>
        <v>1 janvier 2038</v>
      </c>
      <c r="E66" s="114" t="e">
        <f>+E65+E55</f>
        <v>#NUM!</v>
      </c>
      <c r="F66" s="13"/>
      <c r="G66" s="13"/>
    </row>
    <row r="67" spans="1:7" ht="18.75" thickBot="1" x14ac:dyDescent="0.3">
      <c r="A67" s="174" t="s">
        <v>66</v>
      </c>
      <c r="B67" s="80"/>
      <c r="C67" s="80"/>
      <c r="D67" s="115" t="e">
        <f>+D61+D51</f>
        <v>#NUM!</v>
      </c>
      <c r="E67" s="50"/>
    </row>
    <row r="68" spans="1:7" ht="15.75" hidden="1" thickBot="1" x14ac:dyDescent="0.3">
      <c r="A68" s="158" t="s">
        <v>15</v>
      </c>
      <c r="B68" s="159"/>
      <c r="C68" s="160"/>
      <c r="D68" s="8" t="e">
        <f>(A19+B19+F19)*2%+(#REF!+C19)*1.54%+(D63)*2%</f>
        <v>#REF!</v>
      </c>
      <c r="E68" s="7"/>
    </row>
    <row r="69" spans="1:7" x14ac:dyDescent="0.2"/>
    <row r="70" spans="1:7" ht="15" x14ac:dyDescent="0.25">
      <c r="A70" s="93" t="s">
        <v>47</v>
      </c>
      <c r="B70" s="94"/>
      <c r="C70" s="94"/>
      <c r="D70" s="94"/>
      <c r="E70" s="94"/>
      <c r="F70" s="94"/>
    </row>
    <row r="71" spans="1:7" s="126" customFormat="1" ht="80.25" customHeight="1" x14ac:dyDescent="0.2">
      <c r="A71" s="173" t="s">
        <v>48</v>
      </c>
      <c r="B71" s="173"/>
      <c r="C71" s="173"/>
      <c r="D71" s="173"/>
      <c r="E71" s="173"/>
      <c r="F71" s="173"/>
      <c r="G71" s="173"/>
    </row>
  </sheetData>
  <sheetProtection algorithmName="SHA-512" hashValue="sVEC33Bj5Z87UAwhoTolUyBvZI65j7PM23713HNZHtmtUgr640Deatgk1qrpJSCDwTIpUUx1bqvPAHY5gXTwKA==" saltValue="xzLYJiNefvXWSpA2n8p4Og==" spinCount="100000" sheet="1" objects="1" scenarios="1"/>
  <protectedRanges>
    <protectedRange password="A4FF" sqref="B4:D4 D13 A19:G19 B23:C23 B26:C26 A8:A10" name="Range1"/>
    <protectedRange password="A4FF" sqref="G21" name="Range1_1"/>
  </protectedRanges>
  <mergeCells count="14">
    <mergeCell ref="A68:C68"/>
    <mergeCell ref="A47:E47"/>
    <mergeCell ref="A37:C37"/>
    <mergeCell ref="A16:G17"/>
    <mergeCell ref="A71:G71"/>
    <mergeCell ref="A1:E1"/>
    <mergeCell ref="B4:D4"/>
    <mergeCell ref="A41:E41"/>
    <mergeCell ref="C43:E44"/>
    <mergeCell ref="A13:C13"/>
    <mergeCell ref="A43:B44"/>
    <mergeCell ref="A38:D38"/>
    <mergeCell ref="A14:G14"/>
    <mergeCell ref="A2:G2"/>
  </mergeCells>
  <phoneticPr fontId="2" type="noConversion"/>
  <conditionalFormatting sqref="A26:XFD71">
    <cfRule type="expression" dxfId="4" priority="2">
      <formula>$G$21=""</formula>
    </cfRule>
  </conditionalFormatting>
  <dataValidations xWindow="443" yWindow="362" count="12">
    <dataValidation allowBlank="1" showInputMessage="1" showErrorMessage="1" prompt="Entrez votre nom" sqref="B4:D4"/>
    <dataValidation allowBlank="1" showInputMessage="1" showErrorMessage="1" prompt="Vous devez compléter tous les champs en bleu._x000a__x000a_Il vous faudra votre dernier relevé de l'Assomption ainsi que le montant de votre salaire de base des trois dernières années." sqref="A1:A2 B1:E1"/>
    <dataValidation type="whole" operator="greaterThan" allowBlank="1" showInputMessage="1" showErrorMessage="1" prompt="Entrez l'année :_x000a_Voir la dernière page de votre relevé dans la _x000a_sections « Renseignements personnels » " sqref="B23">
      <formula1>2003</formula1>
    </dataValidation>
    <dataValidation type="whole" allowBlank="1" showInputMessage="1" showErrorMessage="1" prompt="Entrez le mois de la date de retraite normale:_x000a_Voir la dernière page de votre relevé dans_x000a_ la sections « Renseignements personnels » " sqref="C23">
      <formula1>1</formula1>
      <formula2>12</formula2>
    </dataValidation>
    <dataValidation type="whole" allowBlank="1" showInputMessage="1" showErrorMessage="1" error="Note: Fonctionne pour les dates de retraite prévue 2014 et après." prompt="Entrez le mois de la date que vous aimeriez prendre votre retraite._x000a_Sinon, entrez l'année de la date normale de retraite selon le relevé annuel de l'Assomption" sqref="C26">
      <formula1>1</formula1>
      <formula2>12</formula2>
    </dataValidation>
    <dataValidation type="whole" operator="greaterThan" allowBlank="1" showInputMessage="1" showErrorMessage="1" error="Note: Fonctionne pour les dates de retraite prévue 2014 et après." prompt="Entrez l'année de la date que vous aimeriez prendre votre retraite._x000a_Sinon, entrez l'année de la date normale de retraite selon le relevé annuel de l'Assomption" sqref="B26">
      <formula1>2013</formula1>
    </dataValidation>
    <dataValidation type="whole" operator="lessThan" allowBlank="1" showInputMessage="1" showErrorMessage="1" prompt="Entrez votre salaire de base.  Ne pas inclure le temps supplémentaire." sqref="A8:A10">
      <formula1>1000000</formula1>
    </dataValidation>
    <dataValidation type="decimal" allowBlank="1" showInputMessage="1" showErrorMessage="1" prompt="Cette information se retrouve sur le relevé de l'Assomption Vie._x000a_Ne pas oubliez le service pour l'année en cours._x000a_" sqref="G21">
      <formula1>0</formula1>
      <formula2>999999</formula2>
    </dataValidation>
    <dataValidation type="decimal" allowBlank="1" showInputMessage="1" showErrorMessage="1" prompt="Voir la page 2 de votre relevé dans la section « Vos droits »_x000a_Entrez nombre d'années. _x000a_" sqref="D19">
      <formula1>0</formula1>
      <formula2>40</formula2>
    </dataValidation>
    <dataValidation type="decimal" allowBlank="1" showInputMessage="1" showErrorMessage="1" prompt="Voir la page 2 de votre relevé dans _x000a_la section « Vos droits »._x000a__x000a_Entrez nombre d'années. " sqref="B19:C19 E19:G19">
      <formula1>0</formula1>
      <formula2>40</formula2>
    </dataValidation>
    <dataValidation type="decimal" allowBlank="1" showInputMessage="1" showErrorMessage="1" prompt="Voir la page 2 de votre relevé dans _x000a_la section « Vos droits »._x000a__x000a_Entrez nombre d'années. _x000a_" sqref="A19">
      <formula1>0</formula1>
      <formula2>40</formula2>
    </dataValidation>
    <dataValidation type="list" allowBlank="1" showInputMessage="1" showErrorMessage="1" prompt="Entrez un pourcentage possible d'augmentation de salaire. L'augmentation est sur une base annuelle donc il faut ajuster s'il y en a deux. Si vous pensez que votre salaire n'augmentera plus au cours des prochaines années, laissez à 0%." sqref="D13">
      <formula1>$M$1:$M$18</formula1>
    </dataValidation>
  </dataValidations>
  <printOptions horizontalCentered="1"/>
  <pageMargins left="0.75" right="0.75" top="1" bottom="1" header="0.5" footer="0.5"/>
  <pageSetup scale="70" orientation="portrait" r:id="rId1"/>
  <headerFooter alignWithMargins="0">
    <oddFooter>&amp;L&amp;D&amp;R&amp;Z&amp;F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N55"/>
  <sheetViews>
    <sheetView workbookViewId="0">
      <selection activeCell="E37" sqref="E37"/>
    </sheetView>
  </sheetViews>
  <sheetFormatPr defaultColWidth="11.42578125" defaultRowHeight="12.75" x14ac:dyDescent="0.2"/>
  <cols>
    <col min="1" max="1" width="12.7109375" customWidth="1"/>
    <col min="2" max="2" width="15.42578125" customWidth="1"/>
    <col min="3" max="3" width="18.28515625" bestFit="1" customWidth="1"/>
    <col min="4" max="4" width="23.85546875" customWidth="1"/>
    <col min="5" max="6" width="11.42578125" bestFit="1" customWidth="1"/>
    <col min="7" max="8" width="11.42578125" customWidth="1"/>
    <col min="9" max="9" width="9.140625" customWidth="1"/>
    <col min="10" max="10" width="11.7109375" bestFit="1" customWidth="1"/>
    <col min="12" max="12" width="17" customWidth="1"/>
    <col min="13" max="13" width="12.85546875" customWidth="1"/>
  </cols>
  <sheetData>
    <row r="2" spans="1:14" x14ac:dyDescent="0.2">
      <c r="H2" s="1">
        <f>MIN(2%,Data!D13)</f>
        <v>0</v>
      </c>
    </row>
    <row r="3" spans="1:14" x14ac:dyDescent="0.2">
      <c r="A3" t="s">
        <v>1</v>
      </c>
      <c r="B3" t="s">
        <v>5</v>
      </c>
      <c r="C3" t="s">
        <v>6</v>
      </c>
      <c r="D3" s="7" t="s">
        <v>10</v>
      </c>
      <c r="E3" t="s">
        <v>3</v>
      </c>
      <c r="H3" s="89" t="s">
        <v>13</v>
      </c>
      <c r="K3" s="86" t="s">
        <v>44</v>
      </c>
    </row>
    <row r="4" spans="1:14" x14ac:dyDescent="0.2">
      <c r="A4" s="131">
        <f>+MAX(tablemax[Année])-3</f>
        <v>2020</v>
      </c>
      <c r="B4" s="5">
        <f>+Data!A8</f>
        <v>0</v>
      </c>
      <c r="C4" s="2">
        <f>ROUND(IF(A4&lt;Data!$B$26,MIN(B4,H4),IF(A4=Data!$B$26,MIN(B4,H4)*(Data!$C$26-1)/12,0)),2)</f>
        <v>0</v>
      </c>
      <c r="D4" s="4">
        <f>ROUND(IF(A4&lt;Data!$B$26,1,IF(A4=Data!$B$26,(Data!$C$26-1)/12,0)),8)</f>
        <v>1</v>
      </c>
      <c r="H4" s="90">
        <v>123265</v>
      </c>
      <c r="I4" s="6"/>
    </row>
    <row r="5" spans="1:14" x14ac:dyDescent="0.2">
      <c r="A5">
        <f>+A4+1</f>
        <v>2021</v>
      </c>
      <c r="B5" s="5">
        <f>+Data!A9</f>
        <v>0</v>
      </c>
      <c r="C5" s="2">
        <f>ROUND(IF(A5&lt;Data!$B$26,MIN(B5,H5),IF(A5=Data!$B$26,MIN(B5,H5)*(Data!$C$26-1)/12,0)),2)</f>
        <v>0</v>
      </c>
      <c r="D5" s="4">
        <f>ROUND(IF(A5&lt;Data!$B$26,1,IF(A5=Data!$B$26,(Data!$C$26-1)/12,0)),8)</f>
        <v>1</v>
      </c>
      <c r="H5" s="90">
        <v>125440</v>
      </c>
      <c r="I5" s="6"/>
      <c r="K5" t="s">
        <v>1</v>
      </c>
      <c r="L5" t="s">
        <v>45</v>
      </c>
      <c r="M5" t="s">
        <v>46</v>
      </c>
    </row>
    <row r="6" spans="1:14" x14ac:dyDescent="0.2">
      <c r="A6">
        <f t="shared" ref="A6:A55" si="0">+A5+1</f>
        <v>2022</v>
      </c>
      <c r="B6" s="5">
        <f>+Data!A10</f>
        <v>0</v>
      </c>
      <c r="C6" s="2">
        <f>ROUND(IF(A6&lt;Data!$B$26,MIN(B6,H6),IF(A6=Data!$B$26,MIN(B6,H6)*(Data!$C$26-1)/12,0)),2)</f>
        <v>0</v>
      </c>
      <c r="D6" s="4">
        <f>ROUND(IF(A6&lt;Data!$B$26,1,IF(A6=Data!$B$26,(Data!$C$26-1)/12,0)),8)</f>
        <v>1</v>
      </c>
      <c r="H6" s="90">
        <v>131028</v>
      </c>
      <c r="I6" s="6"/>
      <c r="K6" s="87">
        <v>1990</v>
      </c>
      <c r="L6" s="88">
        <v>1722.22</v>
      </c>
      <c r="M6" s="88">
        <f>+tablemax[[#This Row],[Plafond des PD]]/0.02</f>
        <v>86111</v>
      </c>
    </row>
    <row r="7" spans="1:14" x14ac:dyDescent="0.2">
      <c r="A7">
        <f t="shared" si="0"/>
        <v>2023</v>
      </c>
      <c r="B7" s="2">
        <f>+B6*(1+Data!$D$13)</f>
        <v>0</v>
      </c>
      <c r="C7" s="2">
        <f>ROUND(IF(A7&lt;Data!$B$26,MIN(B7,H7),IF(A7=Data!$B$26,MIN(B7,H7)*(Data!$C$26-1)/12,0)),2)</f>
        <v>0</v>
      </c>
      <c r="D7" s="4">
        <f>ROUND(IF(A7&lt;Data!$B$26,1,IF(A7=Data!$B$26,(Data!$C$26-1)/12,0)),8)</f>
        <v>1</v>
      </c>
      <c r="H7" s="90">
        <f>+H6*(1+$H$2)</f>
        <v>131028</v>
      </c>
      <c r="I7" s="6"/>
      <c r="K7" s="87">
        <v>1991</v>
      </c>
      <c r="L7" s="88">
        <v>1722.22</v>
      </c>
      <c r="M7" s="88">
        <f>+tablemax[[#This Row],[Plafond des PD]]/0.02</f>
        <v>86111</v>
      </c>
    </row>
    <row r="8" spans="1:14" x14ac:dyDescent="0.2">
      <c r="A8">
        <f>+A7+1</f>
        <v>2024</v>
      </c>
      <c r="B8" s="2">
        <f>+B7*(1+Data!$D$13)</f>
        <v>0</v>
      </c>
      <c r="C8" s="2">
        <f>ROUND(IF(A8&lt;Data!$B$26,MIN(B8,H8),IF(A8=Data!$B$26,MIN(B8,H8)*(Data!$C$26-1)/12,0)),2)</f>
        <v>0</v>
      </c>
      <c r="D8" s="4">
        <f>ROUND(IF(A8&lt;Data!$B$26,1,IF(A8=Data!$B$26,(Data!$C$26-1)/12,0)),8)</f>
        <v>1</v>
      </c>
      <c r="H8" s="2">
        <f>+H7*(1+$H$2)</f>
        <v>131028</v>
      </c>
      <c r="I8" s="6"/>
      <c r="K8" s="87">
        <v>1992</v>
      </c>
      <c r="L8" s="88">
        <v>1722.22</v>
      </c>
      <c r="M8" s="88">
        <f>+tablemax[[#This Row],[Plafond des PD]]/0.02</f>
        <v>86111</v>
      </c>
    </row>
    <row r="9" spans="1:14" x14ac:dyDescent="0.2">
      <c r="A9">
        <f t="shared" si="0"/>
        <v>2025</v>
      </c>
      <c r="B9" s="2">
        <f>+B8*(1+Data!$D$13)</f>
        <v>0</v>
      </c>
      <c r="C9" s="2">
        <f>ROUND(IF(A9&lt;Data!$B$26,MIN(B9,H9),IF(A9=Data!$B$26,MIN(B9,H9)*(Data!$C$26-1)/12,0)),2)</f>
        <v>0</v>
      </c>
      <c r="D9" s="4">
        <f>ROUND(IF(A9&lt;Data!$B$26,1,IF(A9=Data!$B$26,(Data!$C$26-1)/12,0)),8)</f>
        <v>1</v>
      </c>
      <c r="H9" s="2">
        <f>+H8*(1+$H$2)</f>
        <v>131028</v>
      </c>
      <c r="I9" s="6"/>
      <c r="K9" s="87">
        <v>1993</v>
      </c>
      <c r="L9" s="88">
        <v>1722.22</v>
      </c>
      <c r="M9" s="88">
        <f>+tablemax[[#This Row],[Plafond des PD]]/0.02</f>
        <v>86111</v>
      </c>
    </row>
    <row r="10" spans="1:14" x14ac:dyDescent="0.2">
      <c r="A10">
        <f t="shared" si="0"/>
        <v>2026</v>
      </c>
      <c r="B10" s="2">
        <f>+B9*(1+Data!$D$13)</f>
        <v>0</v>
      </c>
      <c r="C10" s="2">
        <f>ROUND(IF(A10&lt;Data!$B$26,MIN(B10,H10),IF(A10=Data!$B$26,MIN(B10,H10)*(Data!$C$26-1)/12,0)),2)</f>
        <v>0</v>
      </c>
      <c r="D10" s="4">
        <f>ROUND(IF(A10&lt;Data!$B$26,1,IF(A10=Data!$B$26,(Data!$C$26-1)/12,0)),8)</f>
        <v>1</v>
      </c>
      <c r="H10" s="2">
        <f t="shared" ref="H10:H55" si="1">+H9*(1+$H$2)</f>
        <v>131028</v>
      </c>
      <c r="I10" s="6"/>
      <c r="K10" s="87">
        <v>1994</v>
      </c>
      <c r="L10" s="88">
        <v>1722.22</v>
      </c>
      <c r="M10" s="88">
        <f>+tablemax[[#This Row],[Plafond des PD]]/0.02</f>
        <v>86111</v>
      </c>
    </row>
    <row r="11" spans="1:14" x14ac:dyDescent="0.2">
      <c r="A11">
        <f t="shared" si="0"/>
        <v>2027</v>
      </c>
      <c r="B11" s="2">
        <f>+B10*(1+Data!$D$13)</f>
        <v>0</v>
      </c>
      <c r="C11" s="2">
        <f>ROUND(IF(A11&lt;Data!$B$26,MIN(B11,H11),IF(A11=Data!$B$26,MIN(B11,H11)*(Data!$C$26-1)/12,0)),2)</f>
        <v>0</v>
      </c>
      <c r="D11" s="4">
        <f>ROUND(IF(A11&lt;Data!$B$26,1,IF(A11=Data!$B$26,(Data!$C$26-1)/12,0)),8)</f>
        <v>1</v>
      </c>
      <c r="H11" s="2">
        <f>+H10*(1+$H$2)</f>
        <v>131028</v>
      </c>
      <c r="I11" s="6"/>
      <c r="K11" s="87">
        <v>1995</v>
      </c>
      <c r="L11" s="88">
        <v>1722.22</v>
      </c>
      <c r="M11" s="88">
        <f>+tablemax[[#This Row],[Plafond des PD]]/0.02</f>
        <v>86111</v>
      </c>
      <c r="N11" s="85"/>
    </row>
    <row r="12" spans="1:14" x14ac:dyDescent="0.2">
      <c r="A12">
        <f t="shared" si="0"/>
        <v>2028</v>
      </c>
      <c r="B12" s="2">
        <f>+B11*(1+Data!$D$13)</f>
        <v>0</v>
      </c>
      <c r="C12" s="2">
        <f>ROUND(IF(A12&lt;Data!$B$26,MIN(B12,H12),IF(A12=Data!$B$26,MIN(B12,H12)*(Data!$C$26-1)/12,0)),2)</f>
        <v>0</v>
      </c>
      <c r="D12" s="4">
        <f>ROUND(IF(A12&lt;Data!$B$26,1,IF(A12=Data!$B$26,(Data!$C$26-1)/12,0)),8)</f>
        <v>1</v>
      </c>
      <c r="H12" s="2">
        <f t="shared" si="1"/>
        <v>131028</v>
      </c>
      <c r="I12" s="6"/>
      <c r="K12" s="87">
        <v>1996</v>
      </c>
      <c r="L12" s="88">
        <v>1722.22</v>
      </c>
      <c r="M12" s="88">
        <f>+tablemax[[#This Row],[Plafond des PD]]/0.02</f>
        <v>86111</v>
      </c>
      <c r="N12" s="85"/>
    </row>
    <row r="13" spans="1:14" x14ac:dyDescent="0.2">
      <c r="A13">
        <f t="shared" si="0"/>
        <v>2029</v>
      </c>
      <c r="B13" s="2">
        <f>+B12*(1+Data!$D$13)</f>
        <v>0</v>
      </c>
      <c r="C13" s="2">
        <f>ROUND(IF(A13&lt;Data!$B$26,MIN(B13,H13),IF(A13=Data!$B$26,MIN(B13,H13)*(Data!$C$26-1)/12,0)),2)</f>
        <v>0</v>
      </c>
      <c r="D13" s="4">
        <f>ROUND(IF(A13&lt;Data!$B$26,1,IF(A13=Data!$B$26,(Data!$C$26-1)/12,0)),8)</f>
        <v>1</v>
      </c>
      <c r="H13" s="2">
        <f t="shared" si="1"/>
        <v>131028</v>
      </c>
      <c r="I13" s="6"/>
      <c r="K13" s="87">
        <v>1997</v>
      </c>
      <c r="L13" s="88">
        <v>1722.22</v>
      </c>
      <c r="M13" s="88">
        <f>+tablemax[[#This Row],[Plafond des PD]]/0.02</f>
        <v>86111</v>
      </c>
      <c r="N13" s="85"/>
    </row>
    <row r="14" spans="1:14" x14ac:dyDescent="0.2">
      <c r="A14">
        <f t="shared" si="0"/>
        <v>2030</v>
      </c>
      <c r="B14" s="2">
        <f>+B13*(1+Data!$D$13)</f>
        <v>0</v>
      </c>
      <c r="C14" s="2">
        <f>ROUND(IF(A14&lt;Data!$B$26,MIN(B14,H14),IF(A14=Data!$B$26,MIN(B14,H14)*(Data!$C$26-1)/12,0)),2)</f>
        <v>0</v>
      </c>
      <c r="D14" s="4">
        <f>ROUND(IF(A14&lt;Data!$B$26,1,IF(A14=Data!$B$26,(Data!$C$26-1)/12,0)),8)</f>
        <v>1</v>
      </c>
      <c r="H14" s="2">
        <f t="shared" si="1"/>
        <v>131028</v>
      </c>
      <c r="I14" s="6"/>
      <c r="J14" s="2"/>
      <c r="K14" s="87">
        <v>1998</v>
      </c>
      <c r="L14" s="88">
        <v>1722.22</v>
      </c>
      <c r="M14" s="88">
        <f>+tablemax[[#This Row],[Plafond des PD]]/0.02</f>
        <v>86111</v>
      </c>
    </row>
    <row r="15" spans="1:14" x14ac:dyDescent="0.2">
      <c r="A15">
        <f t="shared" si="0"/>
        <v>2031</v>
      </c>
      <c r="B15" s="2">
        <f>+B14*(1+Data!$D$13)</f>
        <v>0</v>
      </c>
      <c r="C15" s="2">
        <f>ROUND(IF(A15&lt;Data!$B$26,MIN(B15,H15),IF(A15=Data!$B$26,MIN(B15,H15)*(Data!$C$26-1)/12,0)),2)</f>
        <v>0</v>
      </c>
      <c r="D15" s="4">
        <f>ROUND(IF(A15&lt;Data!$B$26,1,IF(A15=Data!$B$26,(Data!$C$26-1)/12,0)),8)</f>
        <v>1</v>
      </c>
      <c r="H15" s="2">
        <f t="shared" si="1"/>
        <v>131028</v>
      </c>
      <c r="I15" s="6"/>
      <c r="K15" s="87">
        <v>1999</v>
      </c>
      <c r="L15" s="88">
        <v>1722.22</v>
      </c>
      <c r="M15" s="88">
        <f>+tablemax[[#This Row],[Plafond des PD]]/0.02</f>
        <v>86111</v>
      </c>
    </row>
    <row r="16" spans="1:14" x14ac:dyDescent="0.2">
      <c r="A16">
        <f t="shared" si="0"/>
        <v>2032</v>
      </c>
      <c r="B16" s="2">
        <f>+B15*(1+Data!$D$13)</f>
        <v>0</v>
      </c>
      <c r="C16" s="2">
        <f>ROUND(IF(A16&lt;Data!$B$26,MIN(B16,H16),IF(A16=Data!$B$26,MIN(B16,H16)*(Data!$C$26-1)/12,0)),2)</f>
        <v>0</v>
      </c>
      <c r="D16" s="4">
        <f>ROUND(IF(A16&lt;Data!$B$26,1,IF(A16=Data!$B$26,(Data!$C$26-1)/12,0)),8)</f>
        <v>1</v>
      </c>
      <c r="H16" s="2">
        <f t="shared" si="1"/>
        <v>131028</v>
      </c>
      <c r="I16" s="6"/>
      <c r="K16" s="87">
        <v>2000</v>
      </c>
      <c r="L16" s="88">
        <v>1722.22</v>
      </c>
      <c r="M16" s="88">
        <f>+tablemax[[#This Row],[Plafond des PD]]/0.02</f>
        <v>86111</v>
      </c>
    </row>
    <row r="17" spans="1:13" x14ac:dyDescent="0.2">
      <c r="A17">
        <f t="shared" si="0"/>
        <v>2033</v>
      </c>
      <c r="B17" s="2">
        <f>+B16*(1+Data!$D$13)</f>
        <v>0</v>
      </c>
      <c r="C17" s="2">
        <f>ROUND(IF(A17&lt;Data!$B$26,MIN(B17,H17),IF(A17=Data!$B$26,MIN(B17,H17)*(Data!$C$26-1)/12,0)),2)</f>
        <v>0</v>
      </c>
      <c r="D17" s="4">
        <f>ROUND(IF(A17&lt;Data!$B$26,1,IF(A17=Data!$B$26,(Data!$C$26-1)/12,0)),8)</f>
        <v>1</v>
      </c>
      <c r="H17" s="2">
        <f t="shared" si="1"/>
        <v>131028</v>
      </c>
      <c r="I17" s="6"/>
      <c r="K17" s="87">
        <v>2001</v>
      </c>
      <c r="L17" s="88">
        <v>1722.22</v>
      </c>
      <c r="M17" s="88">
        <f>+tablemax[[#This Row],[Plafond des PD]]/0.02</f>
        <v>86111</v>
      </c>
    </row>
    <row r="18" spans="1:13" x14ac:dyDescent="0.2">
      <c r="A18">
        <f t="shared" si="0"/>
        <v>2034</v>
      </c>
      <c r="B18" s="2">
        <f>+B17*(1+Data!$D$13)</f>
        <v>0</v>
      </c>
      <c r="C18" s="2">
        <f>ROUND(IF(A18&lt;Data!$B$26,MIN(B18,H18),IF(A18=Data!$B$26,MIN(B18,H18)*(Data!$C$26-1)/12,0)),2)</f>
        <v>0</v>
      </c>
      <c r="D18" s="4">
        <f>ROUND(IF(A18&lt;Data!$B$26,1,IF(A18=Data!$B$26,(Data!$C$26-1)/12,0)),8)</f>
        <v>1</v>
      </c>
      <c r="H18" s="2">
        <f t="shared" si="1"/>
        <v>131028</v>
      </c>
      <c r="I18" s="6"/>
      <c r="K18" s="87">
        <v>2002</v>
      </c>
      <c r="L18" s="88">
        <v>1722.22</v>
      </c>
      <c r="M18" s="88">
        <f>+tablemax[[#This Row],[Plafond des PD]]/0.02</f>
        <v>86111</v>
      </c>
    </row>
    <row r="19" spans="1:13" x14ac:dyDescent="0.2">
      <c r="A19">
        <f t="shared" si="0"/>
        <v>2035</v>
      </c>
      <c r="B19" s="2">
        <f>+B18*(1+Data!$D$13)</f>
        <v>0</v>
      </c>
      <c r="C19" s="2">
        <f>ROUND(IF(A19&lt;Data!$B$26,MIN(B19,H19),IF(A19=Data!$B$26,MIN(B19,H19)*(Data!$C$26-1)/12,0)),2)</f>
        <v>0</v>
      </c>
      <c r="D19" s="4">
        <f>ROUND(IF(A19&lt;Data!$B$26,1,IF(A19=Data!$B$26,(Data!$C$26-1)/12,0)),8)</f>
        <v>1</v>
      </c>
      <c r="H19" s="2">
        <f t="shared" si="1"/>
        <v>131028</v>
      </c>
      <c r="K19" s="87">
        <v>2003</v>
      </c>
      <c r="L19" s="88">
        <v>1722.22</v>
      </c>
      <c r="M19" s="88">
        <f>+tablemax[[#This Row],[Plafond des PD]]/0.02</f>
        <v>86111</v>
      </c>
    </row>
    <row r="20" spans="1:13" x14ac:dyDescent="0.2">
      <c r="A20">
        <f t="shared" si="0"/>
        <v>2036</v>
      </c>
      <c r="B20" s="2">
        <f>+B19*(1+Data!$D$13)</f>
        <v>0</v>
      </c>
      <c r="C20" s="2">
        <f>ROUND(IF(A20&lt;Data!$B$26,MIN(B20,H20),IF(A20=Data!$B$26,MIN(B20,H20)*(Data!$C$26-1)/12,0)),2)</f>
        <v>0</v>
      </c>
      <c r="D20" s="4">
        <f>ROUND(IF(A20&lt;Data!$B$26,1,IF(A20=Data!$B$26,(Data!$C$26-1)/12,0)),8)</f>
        <v>1</v>
      </c>
      <c r="H20" s="2">
        <f t="shared" si="1"/>
        <v>131028</v>
      </c>
      <c r="K20" s="87">
        <v>2004</v>
      </c>
      <c r="L20" s="88">
        <v>1833.33</v>
      </c>
      <c r="M20" s="88">
        <f>+tablemax[[#This Row],[Plafond des PD]]/0.02</f>
        <v>91666.5</v>
      </c>
    </row>
    <row r="21" spans="1:13" x14ac:dyDescent="0.2">
      <c r="A21">
        <f t="shared" si="0"/>
        <v>2037</v>
      </c>
      <c r="B21" s="2">
        <f>+B20*(1+Data!$D$13)</f>
        <v>0</v>
      </c>
      <c r="C21" s="2">
        <f>ROUND(IF(A21&lt;Data!$B$26,MIN(B21,H21),IF(A21=Data!$B$26,MIN(B21,H21)*(Data!$C$26-1)/12,0)),2)</f>
        <v>0</v>
      </c>
      <c r="D21" s="4">
        <f>ROUND(IF(A21&lt;Data!$B$26,1,IF(A21=Data!$B$26,(Data!$C$26-1)/12,0)),8)</f>
        <v>1</v>
      </c>
      <c r="H21" s="2">
        <f t="shared" si="1"/>
        <v>131028</v>
      </c>
      <c r="K21" s="87">
        <v>2005</v>
      </c>
      <c r="L21" s="88">
        <v>2000</v>
      </c>
      <c r="M21" s="88">
        <f>+tablemax[[#This Row],[Plafond des PD]]/0.02</f>
        <v>100000</v>
      </c>
    </row>
    <row r="22" spans="1:13" x14ac:dyDescent="0.2">
      <c r="A22">
        <f t="shared" si="0"/>
        <v>2038</v>
      </c>
      <c r="B22" s="2">
        <f>+B21*(1+Data!$D$13)</f>
        <v>0</v>
      </c>
      <c r="C22" s="2">
        <f>ROUND(IF(A22&lt;Data!$B$26,MIN(B22,H22),IF(A22=Data!$B$26,MIN(B22,H22)*(Data!$C$26-1)/12,0)),2)</f>
        <v>0</v>
      </c>
      <c r="D22" s="4">
        <f>ROUND(IF(A22&lt;Data!$B$26,1,IF(A22=Data!$B$26,(Data!$C$26-1)/12,0)),8)</f>
        <v>0</v>
      </c>
      <c r="H22" s="2">
        <f t="shared" si="1"/>
        <v>131028</v>
      </c>
      <c r="K22" s="87">
        <v>2006</v>
      </c>
      <c r="L22" s="88">
        <v>2111.11</v>
      </c>
      <c r="M22" s="88">
        <f>+tablemax[[#This Row],[Plafond des PD]]/0.02</f>
        <v>105555.5</v>
      </c>
    </row>
    <row r="23" spans="1:13" x14ac:dyDescent="0.2">
      <c r="A23">
        <f t="shared" si="0"/>
        <v>2039</v>
      </c>
      <c r="B23" s="2">
        <f>+B22*(1+Data!$D$13)</f>
        <v>0</v>
      </c>
      <c r="C23" s="2">
        <f>ROUND(IF(A23&lt;Data!$B$26,MIN(B23,H23),IF(A23=Data!$B$26,MIN(B23,H23)*(Data!$C$26-1)/12,0)),2)</f>
        <v>0</v>
      </c>
      <c r="D23" s="4">
        <f>ROUND(IF(A23&lt;Data!$B$26,1,IF(A23=Data!$B$26,(Data!$C$26-1)/12,0)),8)</f>
        <v>0</v>
      </c>
      <c r="H23" s="2">
        <f t="shared" si="1"/>
        <v>131028</v>
      </c>
      <c r="K23" s="87">
        <v>2007</v>
      </c>
      <c r="L23" s="88">
        <v>2222.2199999999998</v>
      </c>
      <c r="M23" s="88">
        <f>+tablemax[[#This Row],[Plafond des PD]]/0.02</f>
        <v>111110.99999999999</v>
      </c>
    </row>
    <row r="24" spans="1:13" x14ac:dyDescent="0.2">
      <c r="A24">
        <f t="shared" si="0"/>
        <v>2040</v>
      </c>
      <c r="B24" s="2">
        <f>+B23*(1+Data!$D$13)</f>
        <v>0</v>
      </c>
      <c r="C24" s="2">
        <f>ROUND(IF(A24&lt;Data!$B$26,MIN(B24,H24),IF(A24=Data!$B$26,MIN(B24,H24)*(Data!$C$26-1)/12,0)),2)</f>
        <v>0</v>
      </c>
      <c r="D24" s="4">
        <f>ROUND(IF(A24&lt;Data!$B$26,1,IF(A24=Data!$B$26,(Data!$C$26-1)/12,0)),8)</f>
        <v>0</v>
      </c>
      <c r="H24" s="2">
        <f t="shared" si="1"/>
        <v>131028</v>
      </c>
      <c r="K24" s="87">
        <v>2008</v>
      </c>
      <c r="L24" s="88">
        <v>2333.33</v>
      </c>
      <c r="M24" s="88">
        <f>+tablemax[[#This Row],[Plafond des PD]]/0.02</f>
        <v>116666.5</v>
      </c>
    </row>
    <row r="25" spans="1:13" x14ac:dyDescent="0.2">
      <c r="A25">
        <f t="shared" si="0"/>
        <v>2041</v>
      </c>
      <c r="B25" s="2">
        <f>+B24*(1+Data!$D$13)</f>
        <v>0</v>
      </c>
      <c r="C25" s="2">
        <f>ROUND(IF(A25&lt;Data!$B$26,MIN(B25,H25),IF(A25=Data!$B$26,MIN(B25,H25)*(Data!$C$26-1)/12,0)),2)</f>
        <v>0</v>
      </c>
      <c r="D25" s="4">
        <f>ROUND(IF(A25&lt;Data!$B$26,1,IF(A25=Data!$B$26,(Data!$C$26-1)/12,0)),8)</f>
        <v>0</v>
      </c>
      <c r="H25" s="2">
        <f t="shared" si="1"/>
        <v>131028</v>
      </c>
      <c r="K25" s="87">
        <v>2009</v>
      </c>
      <c r="L25" s="88">
        <v>2444.44</v>
      </c>
      <c r="M25" s="88">
        <f>+tablemax[[#This Row],[Plafond des PD]]/0.02</f>
        <v>122222</v>
      </c>
    </row>
    <row r="26" spans="1:13" x14ac:dyDescent="0.2">
      <c r="A26">
        <f t="shared" si="0"/>
        <v>2042</v>
      </c>
      <c r="B26" s="2">
        <f>+B25*(1+Data!$D$13)</f>
        <v>0</v>
      </c>
      <c r="C26" s="2">
        <f>ROUND(IF(A26&lt;Data!$B$26,MIN(B26,H26),IF(A26=Data!$B$26,MIN(B26,H26)*(Data!$C$26-1)/12,0)),2)</f>
        <v>0</v>
      </c>
      <c r="D26" s="4">
        <f>ROUND(IF(A26&lt;Data!$B$26,1,IF(A26=Data!$B$26,(Data!$C$26-1)/12,0)),8)</f>
        <v>0</v>
      </c>
      <c r="H26" s="2">
        <f t="shared" si="1"/>
        <v>131028</v>
      </c>
      <c r="K26" s="87">
        <v>2010</v>
      </c>
      <c r="L26" s="88">
        <v>2494.44</v>
      </c>
      <c r="M26" s="88">
        <f>+tablemax[[#This Row],[Plafond des PD]]/0.02</f>
        <v>124722</v>
      </c>
    </row>
    <row r="27" spans="1:13" x14ac:dyDescent="0.2">
      <c r="A27">
        <f t="shared" si="0"/>
        <v>2043</v>
      </c>
      <c r="B27" s="2">
        <f>+B26*(1+Data!$D$13)</f>
        <v>0</v>
      </c>
      <c r="C27" s="2">
        <f>ROUND(IF(A27&lt;Data!$B$26,MIN(B27,H27),IF(A27=Data!$B$26,MIN(B27,H27)*(Data!$C$26-1)/12,0)),2)</f>
        <v>0</v>
      </c>
      <c r="D27" s="4">
        <f>ROUND(IF(A27&lt;Data!$B$26,1,IF(A27=Data!$B$26,(Data!$C$26-1)/12,0)),8)</f>
        <v>0</v>
      </c>
      <c r="H27" s="2">
        <f t="shared" si="1"/>
        <v>131028</v>
      </c>
      <c r="K27" s="87">
        <v>2011</v>
      </c>
      <c r="L27" s="88">
        <v>2552.2199999999998</v>
      </c>
      <c r="M27" s="88">
        <f>+tablemax[[#This Row],[Plafond des PD]]/0.02</f>
        <v>127610.99999999999</v>
      </c>
    </row>
    <row r="28" spans="1:13" x14ac:dyDescent="0.2">
      <c r="A28">
        <f t="shared" si="0"/>
        <v>2044</v>
      </c>
      <c r="B28" s="2">
        <f>+B27*(1+Data!$D$13)</f>
        <v>0</v>
      </c>
      <c r="C28" s="2">
        <f>ROUND(IF(A28&lt;Data!$B$26,MIN(B28,H28),IF(A28=Data!$B$26,MIN(B28,H28)*(Data!$C$26-1)/12,0)),2)</f>
        <v>0</v>
      </c>
      <c r="D28" s="4">
        <f>ROUND(IF(A28&lt;Data!$B$26,1,IF(A28=Data!$B$26,(Data!$C$26-1)/12,0)),8)</f>
        <v>0</v>
      </c>
      <c r="H28" s="2">
        <f t="shared" si="1"/>
        <v>131028</v>
      </c>
      <c r="K28" s="87">
        <v>2012</v>
      </c>
      <c r="L28" s="88">
        <v>2646.67</v>
      </c>
      <c r="M28" s="88">
        <f>+tablemax[[#This Row],[Plafond des PD]]/0.02</f>
        <v>132333.5</v>
      </c>
    </row>
    <row r="29" spans="1:13" x14ac:dyDescent="0.2">
      <c r="A29">
        <f t="shared" si="0"/>
        <v>2045</v>
      </c>
      <c r="B29" s="2">
        <f>+B28*(1+Data!$D$13)</f>
        <v>0</v>
      </c>
      <c r="C29" s="2">
        <f>ROUND(IF(A29&lt;Data!$B$26,MIN(B29,H29),IF(A29=Data!$B$26,MIN(B29,H29)*(Data!$C$26-1)/12,0)),2)</f>
        <v>0</v>
      </c>
      <c r="D29" s="4">
        <f>ROUND(IF(A29&lt;Data!$B$26,1,IF(A29=Data!$B$26,(Data!$C$26-1)/12,0)),8)</f>
        <v>0</v>
      </c>
      <c r="H29" s="2">
        <f t="shared" si="1"/>
        <v>131028</v>
      </c>
      <c r="K29" s="87">
        <v>2013</v>
      </c>
      <c r="L29" s="88">
        <v>2696.67</v>
      </c>
      <c r="M29" s="88">
        <f>+tablemax[[#This Row],[Plafond des PD]]/0.02</f>
        <v>134833.5</v>
      </c>
    </row>
    <row r="30" spans="1:13" x14ac:dyDescent="0.2">
      <c r="A30">
        <f t="shared" si="0"/>
        <v>2046</v>
      </c>
      <c r="B30" s="2">
        <f>+B29*(1+Data!$D$13)</f>
        <v>0</v>
      </c>
      <c r="C30" s="2">
        <f>ROUND(IF(A30&lt;Data!$B$26,MIN(B30,H30),IF(A30=Data!$B$26,MIN(B30,H30)*(Data!$C$26-1)/12,0)),2)</f>
        <v>0</v>
      </c>
      <c r="D30" s="4">
        <f>ROUND(IF(A30&lt;Data!$B$26,1,IF(A30=Data!$B$26,(Data!$C$26-1)/12,0)),8)</f>
        <v>0</v>
      </c>
      <c r="H30" s="2">
        <f t="shared" si="1"/>
        <v>131028</v>
      </c>
      <c r="K30" s="87">
        <v>2014</v>
      </c>
      <c r="L30" s="88">
        <v>2770</v>
      </c>
      <c r="M30" s="88">
        <f>+tablemax[[#This Row],[Plafond des PD]]/0.02</f>
        <v>138500</v>
      </c>
    </row>
    <row r="31" spans="1:13" x14ac:dyDescent="0.2">
      <c r="A31">
        <f t="shared" si="0"/>
        <v>2047</v>
      </c>
      <c r="B31" s="2">
        <f>+B30*(1+Data!$D$13)</f>
        <v>0</v>
      </c>
      <c r="C31" s="2">
        <f>ROUND(IF(A31&lt;Data!$B$26,MIN(B31,H31),IF(A31=Data!$B$26,MIN(B31,H31)*(Data!$C$26-1)/12,0)),2)</f>
        <v>0</v>
      </c>
      <c r="D31" s="4">
        <f>ROUND(IF(A31&lt;Data!$B$26,1,IF(A31=Data!$B$26,(Data!$C$26-1)/12,0)),8)</f>
        <v>0</v>
      </c>
      <c r="H31" s="2">
        <f t="shared" si="1"/>
        <v>131028</v>
      </c>
      <c r="K31" s="87">
        <v>2015</v>
      </c>
      <c r="L31" s="88">
        <v>2818.89</v>
      </c>
      <c r="M31" s="88">
        <f>+tablemax[[#This Row],[Plafond des PD]]/0.02</f>
        <v>140944.5</v>
      </c>
    </row>
    <row r="32" spans="1:13" x14ac:dyDescent="0.2">
      <c r="A32">
        <f t="shared" si="0"/>
        <v>2048</v>
      </c>
      <c r="B32" s="2">
        <f>+B31*(1+Data!$D$13)</f>
        <v>0</v>
      </c>
      <c r="C32" s="2">
        <f>ROUND(IF(A32&lt;Data!$B$26,MIN(B32,H32),IF(A32=Data!$B$26,MIN(B32,H32)*(Data!$C$26-1)/12,0)),2)</f>
        <v>0</v>
      </c>
      <c r="D32" s="4">
        <f>ROUND(IF(A32&lt;Data!$B$26,1,IF(A32=Data!$B$26,(Data!$C$26-1)/12,0)),8)</f>
        <v>0</v>
      </c>
      <c r="H32" s="2">
        <f t="shared" si="1"/>
        <v>131028</v>
      </c>
      <c r="K32" s="87">
        <v>2016</v>
      </c>
      <c r="L32" s="88">
        <v>2890</v>
      </c>
      <c r="M32" s="88">
        <f>+tablemax[[#This Row],[Plafond des PD]]/0.02</f>
        <v>144500</v>
      </c>
    </row>
    <row r="33" spans="1:13" x14ac:dyDescent="0.2">
      <c r="A33">
        <f t="shared" si="0"/>
        <v>2049</v>
      </c>
      <c r="B33" s="2">
        <f>+B32*(1+Data!$D$13)</f>
        <v>0</v>
      </c>
      <c r="C33" s="2">
        <f>ROUND(IF(A33&lt;Data!$B$26,MIN(B33,H33),IF(A33=Data!$B$26,MIN(B33,H33)*(Data!$C$26-1)/12,0)),2)</f>
        <v>0</v>
      </c>
      <c r="D33" s="4">
        <f>ROUND(IF(A33&lt;Data!$B$26,1,IF(A33=Data!$B$26,(Data!$C$26-1)/12,0)),8)</f>
        <v>0</v>
      </c>
      <c r="H33" s="2">
        <f t="shared" si="1"/>
        <v>131028</v>
      </c>
      <c r="K33" s="87">
        <v>2017</v>
      </c>
      <c r="L33" s="88">
        <v>2914.44</v>
      </c>
      <c r="M33" s="88">
        <f>+tablemax[[#This Row],[Plafond des PD]]/0.02</f>
        <v>145722</v>
      </c>
    </row>
    <row r="34" spans="1:13" x14ac:dyDescent="0.2">
      <c r="A34">
        <f t="shared" si="0"/>
        <v>2050</v>
      </c>
      <c r="B34" s="2">
        <f>+B33*(1+Data!$D$13)</f>
        <v>0</v>
      </c>
      <c r="C34" s="2">
        <f>ROUND(IF(A34&lt;Data!$B$26,MIN(B34,H34),IF(A34=Data!$B$26,MIN(B34,H34)*(Data!$C$26-1)/12,0)),2)</f>
        <v>0</v>
      </c>
      <c r="D34" s="4">
        <f>ROUND(IF(A34&lt;Data!$B$26,1,IF(A34=Data!$B$26,(Data!$C$26-1)/12,0)),8)</f>
        <v>0</v>
      </c>
      <c r="H34" s="2">
        <f t="shared" si="1"/>
        <v>131028</v>
      </c>
      <c r="K34" s="87">
        <v>2018</v>
      </c>
      <c r="L34" s="88">
        <v>2944.44</v>
      </c>
      <c r="M34" s="88">
        <f>+tablemax[[#This Row],[Plafond des PD]]/0.02</f>
        <v>147222</v>
      </c>
    </row>
    <row r="35" spans="1:13" x14ac:dyDescent="0.2">
      <c r="A35">
        <f t="shared" si="0"/>
        <v>2051</v>
      </c>
      <c r="B35" s="2">
        <f>+B34*(1+Data!$D$13)</f>
        <v>0</v>
      </c>
      <c r="C35" s="2">
        <f>ROUND(IF(A35&lt;Data!$B$26,MIN(B35,H35),IF(A35=Data!$B$26,MIN(B35,H35)*(Data!$C$26-1)/12,0)),2)</f>
        <v>0</v>
      </c>
      <c r="D35" s="4">
        <f>ROUND(IF(A35&lt;Data!$B$26,1,IF(A35=Data!$B$26,(Data!$C$26-1)/12,0)),8)</f>
        <v>0</v>
      </c>
      <c r="H35" s="2">
        <f t="shared" si="1"/>
        <v>131028</v>
      </c>
      <c r="K35" s="87">
        <v>2019</v>
      </c>
      <c r="L35" s="88">
        <v>3025.56</v>
      </c>
      <c r="M35" s="88">
        <f>+tablemax[[#This Row],[Plafond des PD]]/0.02</f>
        <v>151278</v>
      </c>
    </row>
    <row r="36" spans="1:13" x14ac:dyDescent="0.2">
      <c r="A36">
        <f t="shared" si="0"/>
        <v>2052</v>
      </c>
      <c r="B36" s="2">
        <f>+B35*(1+Data!$D$13)</f>
        <v>0</v>
      </c>
      <c r="C36" s="2">
        <f>ROUND(IF(A36&lt;Data!$B$26,MIN(B36,H36),IF(A36=Data!$B$26,MIN(B36,H36)*(Data!$C$26-1)/12,0)),2)</f>
        <v>0</v>
      </c>
      <c r="D36" s="4">
        <f>ROUND(IF(A36&lt;Data!$B$26,1,IF(A36=Data!$B$26,(Data!$C$26-1)/12,0)),8)</f>
        <v>0</v>
      </c>
      <c r="H36" s="2">
        <f t="shared" si="1"/>
        <v>131028</v>
      </c>
      <c r="K36" s="87">
        <v>2020</v>
      </c>
      <c r="L36" s="88">
        <v>3092.22</v>
      </c>
      <c r="M36" s="88">
        <f>+tablemax[[#This Row],[Plafond des PD]]/0.02</f>
        <v>154611</v>
      </c>
    </row>
    <row r="37" spans="1:13" x14ac:dyDescent="0.2">
      <c r="A37">
        <f t="shared" si="0"/>
        <v>2053</v>
      </c>
      <c r="B37" s="2">
        <f>+B36*(1+Data!$D$13)</f>
        <v>0</v>
      </c>
      <c r="C37" s="2">
        <f>ROUND(IF(A37&lt;Data!$B$26,MIN(B37,H37),IF(A37=Data!$B$26,MIN(B37,H37)*(Data!$C$26-1)/12,0)),2)</f>
        <v>0</v>
      </c>
      <c r="D37" s="4">
        <f>ROUND(IF(A37&lt;Data!$B$26,1,IF(A37=Data!$B$26,(Data!$C$26-1)/12,0)),8)</f>
        <v>0</v>
      </c>
      <c r="H37" s="2">
        <f t="shared" si="1"/>
        <v>131028</v>
      </c>
      <c r="K37" s="87">
        <v>2021</v>
      </c>
      <c r="L37" s="88">
        <v>3245.56</v>
      </c>
      <c r="M37" s="88">
        <f>+tablemax[[#This Row],[Plafond des PD]]/0.02</f>
        <v>162278</v>
      </c>
    </row>
    <row r="38" spans="1:13" x14ac:dyDescent="0.2">
      <c r="A38">
        <f t="shared" si="0"/>
        <v>2054</v>
      </c>
      <c r="B38" s="2">
        <f>+B37*(1+Data!$D$13)</f>
        <v>0</v>
      </c>
      <c r="C38" s="2">
        <f>ROUND(IF(A38&lt;Data!$B$26,MIN(B38,H38),IF(A38=Data!$B$26,MIN(B38,H38)*(Data!$C$26-1)/12,0)),2)</f>
        <v>0</v>
      </c>
      <c r="D38" s="4">
        <f>ROUND(IF(A38&lt;Data!$B$26,1,IF(A38=Data!$B$26,(Data!$C$26-1)/12,0)),8)</f>
        <v>0</v>
      </c>
      <c r="H38" s="2">
        <f t="shared" si="1"/>
        <v>131028</v>
      </c>
      <c r="K38" s="87">
        <v>2022</v>
      </c>
      <c r="L38" s="88">
        <v>3420</v>
      </c>
      <c r="M38" s="88">
        <f>+tablemax[[#This Row],[Plafond des PD]]/0.02</f>
        <v>171000</v>
      </c>
    </row>
    <row r="39" spans="1:13" x14ac:dyDescent="0.2">
      <c r="A39">
        <f t="shared" si="0"/>
        <v>2055</v>
      </c>
      <c r="B39" s="2">
        <f>+B38*(1+Data!$D$13)</f>
        <v>0</v>
      </c>
      <c r="C39" s="2">
        <f>ROUND(IF(A39&lt;Data!$B$26,MIN(B39,H39),IF(A39=Data!$B$26,MIN(B39,H39)*(Data!$C$26-1)/12,0)),2)</f>
        <v>0</v>
      </c>
      <c r="D39" s="4">
        <f>ROUND(IF(A39&lt;Data!$B$26,1,IF(A39=Data!$B$26,(Data!$C$26-1)/12,0)),8)</f>
        <v>0</v>
      </c>
      <c r="G39" s="3"/>
      <c r="H39" s="2">
        <f t="shared" si="1"/>
        <v>131028</v>
      </c>
      <c r="K39" s="87">
        <v>2023</v>
      </c>
      <c r="L39" s="88">
        <v>3506.6759999999999</v>
      </c>
      <c r="M39" s="88">
        <f>+tablemax[[#This Row],[Plafond des PD]]/0.02</f>
        <v>175333.8</v>
      </c>
    </row>
    <row r="40" spans="1:13" x14ac:dyDescent="0.2">
      <c r="A40">
        <f t="shared" si="0"/>
        <v>2056</v>
      </c>
      <c r="B40" s="2">
        <f>+B39*(1+Data!$D$13)</f>
        <v>0</v>
      </c>
      <c r="C40" s="2">
        <f>ROUND(IF(A40&lt;Data!$B$26,MIN(B40,H40),IF(A40=Data!$B$26,MIN(B40,H40)*(Data!$C$26-1)/12,0)),2)</f>
        <v>0</v>
      </c>
      <c r="D40" s="4">
        <f>ROUND(IF(A40&lt;Data!$B$26,1,IF(A40=Data!$B$26,(Data!$C$26-1)/12,0)),8)</f>
        <v>0</v>
      </c>
      <c r="H40" s="2">
        <f t="shared" si="1"/>
        <v>131028</v>
      </c>
    </row>
    <row r="41" spans="1:13" x14ac:dyDescent="0.2">
      <c r="A41">
        <f t="shared" si="0"/>
        <v>2057</v>
      </c>
      <c r="B41" s="2">
        <f>+B40*(1+Data!$D$13)</f>
        <v>0</v>
      </c>
      <c r="C41" s="2">
        <f>ROUND(IF(A41&lt;Data!$B$26,MIN(B41,H41),IF(A41=Data!$B$26,MIN(B41,H41)*(Data!$C$26-1)/12,0)),2)</f>
        <v>0</v>
      </c>
      <c r="D41" s="4">
        <f>ROUND(IF(A41&lt;Data!$B$26,1,IF(A41=Data!$B$26,(Data!$C$26-1)/12,0)),8)</f>
        <v>0</v>
      </c>
      <c r="H41" s="2">
        <f t="shared" si="1"/>
        <v>131028</v>
      </c>
    </row>
    <row r="42" spans="1:13" x14ac:dyDescent="0.2">
      <c r="A42">
        <f t="shared" si="0"/>
        <v>2058</v>
      </c>
      <c r="B42" s="2">
        <f>+B41*(1+Data!$D$13)</f>
        <v>0</v>
      </c>
      <c r="C42" s="2">
        <f>ROUND(IF(A42&lt;Data!$B$26,MIN(B42,H42),IF(A42=Data!$B$26,MIN(B42,H42)*(Data!$C$26-1)/12,0)),2)</f>
        <v>0</v>
      </c>
      <c r="D42" s="4">
        <f>ROUND(IF(A42&lt;Data!$B$26,1,IF(A42=Data!$B$26,(Data!$C$26-1)/12,0)),8)</f>
        <v>0</v>
      </c>
      <c r="H42" s="2">
        <f t="shared" si="1"/>
        <v>131028</v>
      </c>
    </row>
    <row r="43" spans="1:13" x14ac:dyDescent="0.2">
      <c r="A43">
        <f t="shared" si="0"/>
        <v>2059</v>
      </c>
      <c r="B43" s="2">
        <f>+B42*(1+Data!$D$13)</f>
        <v>0</v>
      </c>
      <c r="C43" s="2">
        <f>ROUND(IF(A43&lt;Data!$B$26,MIN(B43,H43),IF(A43=Data!$B$26,MIN(B43,H43)*(Data!$C$26-1)/12,0)),2)</f>
        <v>0</v>
      </c>
      <c r="D43" s="4">
        <f>ROUND(IF(A43&lt;Data!$B$26,1,IF(A43=Data!$B$26,(Data!$C$26-1)/12,0)),8)</f>
        <v>0</v>
      </c>
      <c r="H43" s="2">
        <f t="shared" si="1"/>
        <v>131028</v>
      </c>
    </row>
    <row r="44" spans="1:13" x14ac:dyDescent="0.2">
      <c r="A44">
        <f t="shared" si="0"/>
        <v>2060</v>
      </c>
      <c r="B44" s="2">
        <f>+B43*(1+Data!$D$13)</f>
        <v>0</v>
      </c>
      <c r="C44" s="2">
        <f>ROUND(IF(A44&lt;Data!$B$26,MIN(B44,H44),IF(A44=Data!$B$26,MIN(B44,H44)*(Data!$C$26-1)/12,0)),2)</f>
        <v>0</v>
      </c>
      <c r="D44" s="4">
        <f>ROUND(IF(A44&lt;Data!$B$26,1,IF(A44=Data!$B$26,(Data!$C$26-1)/12,0)),8)</f>
        <v>0</v>
      </c>
      <c r="H44" s="2">
        <f>+H43*(1+$H$2)</f>
        <v>131028</v>
      </c>
    </row>
    <row r="45" spans="1:13" x14ac:dyDescent="0.2">
      <c r="A45">
        <f t="shared" si="0"/>
        <v>2061</v>
      </c>
      <c r="B45" s="2">
        <f>+B44*(1+Data!$D$13)</f>
        <v>0</v>
      </c>
      <c r="C45" s="2">
        <f>ROUND(IF(A45&lt;Data!$B$26,MIN(B45,H45),IF(A45=Data!$B$26,MIN(B45,H45)*(Data!$C$26-1)/12,0)),2)</f>
        <v>0</v>
      </c>
      <c r="D45" s="4">
        <f>ROUND(IF(A45&lt;Data!$B$26,1,IF(A45=Data!$B$26,(Data!$C$26-1)/12,0)),8)</f>
        <v>0</v>
      </c>
      <c r="H45" s="2">
        <f t="shared" si="1"/>
        <v>131028</v>
      </c>
    </row>
    <row r="46" spans="1:13" x14ac:dyDescent="0.2">
      <c r="A46">
        <f t="shared" si="0"/>
        <v>2062</v>
      </c>
      <c r="B46" s="2">
        <f>+B45*(1+Data!$D$13)</f>
        <v>0</v>
      </c>
      <c r="C46" s="2">
        <f>ROUND(IF(A46&lt;Data!$B$26,MIN(B46,H46),IF(A46=Data!$B$26,MIN(B46,H46)*(Data!$C$26-1)/12,0)),2)</f>
        <v>0</v>
      </c>
      <c r="D46" s="4">
        <f>ROUND(IF(A46&lt;Data!$B$26,1,IF(A46=Data!$B$26,(Data!$C$26-1)/12,0)),8)</f>
        <v>0</v>
      </c>
      <c r="H46" s="2">
        <f t="shared" si="1"/>
        <v>131028</v>
      </c>
    </row>
    <row r="47" spans="1:13" x14ac:dyDescent="0.2">
      <c r="A47">
        <f t="shared" si="0"/>
        <v>2063</v>
      </c>
      <c r="B47" s="2">
        <f>+B46*(1+Data!$D$13)</f>
        <v>0</v>
      </c>
      <c r="C47" s="2">
        <f>ROUND(IF(A47&lt;Data!$B$26,MIN(B47,H47),IF(A47=Data!$B$26,MIN(B47,H47)*(Data!$C$26-1)/12,0)),2)</f>
        <v>0</v>
      </c>
      <c r="D47" s="4">
        <f>ROUND(IF(A47&lt;Data!$B$26,1,IF(A47=Data!$B$26,(Data!$C$26-1)/12,0)),8)</f>
        <v>0</v>
      </c>
      <c r="H47" s="2">
        <f t="shared" si="1"/>
        <v>131028</v>
      </c>
    </row>
    <row r="48" spans="1:13" x14ac:dyDescent="0.2">
      <c r="A48">
        <f t="shared" si="0"/>
        <v>2064</v>
      </c>
      <c r="B48" s="2">
        <f>+B47*(1+Data!$D$13)</f>
        <v>0</v>
      </c>
      <c r="C48" s="2">
        <f>ROUND(IF(A48&lt;Data!$B$26,MIN(B48,H48),IF(A48=Data!$B$26,MIN(B48,H48)*(Data!$C$26-1)/12,0)),2)</f>
        <v>0</v>
      </c>
      <c r="D48" s="4">
        <f>ROUND(IF(A48&lt;Data!$B$26,1,IF(A48=Data!$B$26,(Data!$C$26-1)/12,0)),8)</f>
        <v>0</v>
      </c>
      <c r="H48" s="2">
        <f t="shared" si="1"/>
        <v>131028</v>
      </c>
    </row>
    <row r="49" spans="1:8" x14ac:dyDescent="0.2">
      <c r="A49">
        <f t="shared" si="0"/>
        <v>2065</v>
      </c>
      <c r="B49" s="2">
        <f>+B48*(1+Data!$D$13)</f>
        <v>0</v>
      </c>
      <c r="C49" s="2">
        <f>ROUND(IF(A49&lt;Data!$B$26,MIN(B49,H49),IF(A49=Data!$B$26,MIN(B49,H49)*(Data!$C$26-1)/12,0)),2)</f>
        <v>0</v>
      </c>
      <c r="D49" s="4">
        <f>ROUND(IF(A49&lt;Data!$B$26,1,IF(A49=Data!$B$26,(Data!$C$26-1)/12,0)),8)</f>
        <v>0</v>
      </c>
      <c r="H49" s="2">
        <f t="shared" si="1"/>
        <v>131028</v>
      </c>
    </row>
    <row r="50" spans="1:8" x14ac:dyDescent="0.2">
      <c r="A50">
        <f t="shared" si="0"/>
        <v>2066</v>
      </c>
      <c r="B50" s="2">
        <f>+B49*(1+Data!$D$13)</f>
        <v>0</v>
      </c>
      <c r="C50" s="2">
        <f>ROUND(IF(A50&lt;Data!$B$26,MIN(B50,H50),IF(A50=Data!$B$26,MIN(B50,H50)*(Data!$C$26-1)/12,0)),2)</f>
        <v>0</v>
      </c>
      <c r="D50" s="4">
        <f>ROUND(IF(A50&lt;Data!$B$26,1,IF(A50=Data!$B$26,(Data!$C$26-1)/12,0)),8)</f>
        <v>0</v>
      </c>
      <c r="H50" s="2">
        <f t="shared" si="1"/>
        <v>131028</v>
      </c>
    </row>
    <row r="51" spans="1:8" x14ac:dyDescent="0.2">
      <c r="A51">
        <f t="shared" si="0"/>
        <v>2067</v>
      </c>
      <c r="B51" s="2">
        <f>+B50*(1+Data!$D$13)</f>
        <v>0</v>
      </c>
      <c r="C51" s="2">
        <f>ROUND(IF(A51&lt;Data!$B$26,MIN(B51,H51),IF(A51=Data!$B$26,MIN(B51,H51)*(Data!$C$26-1)/12,0)),2)</f>
        <v>0</v>
      </c>
      <c r="D51" s="4">
        <f>ROUND(IF(A51&lt;Data!$B$26,1,IF(A51=Data!$B$26,(Data!$C$26-1)/12,0)),8)</f>
        <v>0</v>
      </c>
      <c r="H51" s="2">
        <f t="shared" si="1"/>
        <v>131028</v>
      </c>
    </row>
    <row r="52" spans="1:8" x14ac:dyDescent="0.2">
      <c r="A52">
        <f t="shared" si="0"/>
        <v>2068</v>
      </c>
      <c r="B52" s="2">
        <f>+B51*(1+Data!$D$13)</f>
        <v>0</v>
      </c>
      <c r="C52" s="2">
        <f>ROUND(IF(A52&lt;Data!$B$26,MIN(B52,H52),IF(A52=Data!$B$26,MIN(B52,H52)*(Data!$C$26-1)/12,0)),2)</f>
        <v>0</v>
      </c>
      <c r="D52" s="4">
        <f>ROUND(IF(A52&lt;Data!$B$26,1,IF(A52=Data!$B$26,(Data!$C$26-1)/12,0)),8)</f>
        <v>0</v>
      </c>
      <c r="H52" s="2">
        <f t="shared" si="1"/>
        <v>131028</v>
      </c>
    </row>
    <row r="53" spans="1:8" x14ac:dyDescent="0.2">
      <c r="A53">
        <f t="shared" si="0"/>
        <v>2069</v>
      </c>
      <c r="B53" s="2">
        <f>+B52*(1+Data!$D$13)</f>
        <v>0</v>
      </c>
      <c r="C53" s="2">
        <f>ROUND(IF(A53&lt;Data!$B$26,MIN(B53,H53),IF(A53=Data!$B$26,MIN(B53,H53)*(Data!$C$26-1)/12,0)),2)</f>
        <v>0</v>
      </c>
      <c r="D53" s="4">
        <f>ROUND(IF(A53&lt;Data!$B$26,1,IF(A53=Data!$B$26,(Data!$C$26-1)/12,0)),8)</f>
        <v>0</v>
      </c>
      <c r="H53" s="2">
        <f t="shared" si="1"/>
        <v>131028</v>
      </c>
    </row>
    <row r="54" spans="1:8" x14ac:dyDescent="0.2">
      <c r="A54">
        <f t="shared" si="0"/>
        <v>2070</v>
      </c>
      <c r="B54" s="2">
        <f>+B53*(1+Data!$D$13)</f>
        <v>0</v>
      </c>
      <c r="C54" s="2">
        <f>ROUND(IF(A54&lt;Data!$B$26,MIN(B54,H54),IF(A54=Data!$B$26,MIN(B54,H54)*(Data!$C$26-1)/12,0)),2)</f>
        <v>0</v>
      </c>
      <c r="D54" s="4">
        <f>ROUND(IF(A54&lt;Data!$B$26,1,IF(A54=Data!$B$26,(Data!$C$26-1)/12,0)),8)</f>
        <v>0</v>
      </c>
      <c r="H54" s="2">
        <f t="shared" si="1"/>
        <v>131028</v>
      </c>
    </row>
    <row r="55" spans="1:8" x14ac:dyDescent="0.2">
      <c r="A55">
        <f t="shared" si="0"/>
        <v>2071</v>
      </c>
      <c r="B55" s="2">
        <f>+B54*(1+Data!$D$13)</f>
        <v>0</v>
      </c>
      <c r="C55" s="2">
        <f>ROUND(IF(A55&lt;Data!$B$26,MIN(B55,H55),IF(A55=Data!$B$26,MIN(B55,H55)*(Data!$C$26-1)/12,0)),2)</f>
        <v>0</v>
      </c>
      <c r="D55" s="4">
        <f>ROUND(IF(A55&lt;Data!$B$26,1,IF(A55=Data!$B$26,(Data!$C$26-1)/12,0)),8)</f>
        <v>0</v>
      </c>
      <c r="H55" s="2">
        <f t="shared" si="1"/>
        <v>131028</v>
      </c>
    </row>
  </sheetData>
  <phoneticPr fontId="2" type="noConversion"/>
  <hyperlinks>
    <hyperlink ref="K3" r:id="rId1"/>
  </hyperlinks>
  <printOptions horizontalCentered="1"/>
  <pageMargins left="0.75" right="0.75" top="1" bottom="1" header="0.5" footer="0.5"/>
  <pageSetup orientation="portrait" r:id="rId2"/>
  <headerFooter alignWithMargins="0">
    <oddFooter>&amp;L&amp;D&amp;R&amp;Z&amp;F</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vt:lpstr>
      <vt:lpstr>Calculatrice</vt:lpstr>
      <vt:lpstr>Data!Print_Area</vt:lpstr>
    </vt:vector>
  </TitlesOfParts>
  <Company>Assomption Vie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nathalie.joseph</dc:creator>
  <cp:lastModifiedBy>Pierre-Luc Bouchard</cp:lastModifiedBy>
  <cp:lastPrinted>2014-10-28T12:30:27Z</cp:lastPrinted>
  <dcterms:created xsi:type="dcterms:W3CDTF">2009-04-08T12:38:10Z</dcterms:created>
  <dcterms:modified xsi:type="dcterms:W3CDTF">2023-09-12T16:24:37Z</dcterms:modified>
</cp:coreProperties>
</file>