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V:\Calculatrice pension\Université de Moncton\"/>
    </mc:Choice>
  </mc:AlternateContent>
  <workbookProtection workbookAlgorithmName="SHA-512" workbookHashValue="nm9fmtgaclhmUrbpRX+pHJxgEyyM2z/uBX00Lhsvcb/NEuf5iEskVtpKa4fagLzuJQ3lvSG9X/C7XPF9BB0OcQ==" workbookSaltValue="zrBa61qLNO39FkYiRl4IMQ==" workbookSpinCount="100000" lockStructure="1"/>
  <bookViews>
    <workbookView xWindow="0" yWindow="0" windowWidth="25200" windowHeight="11250"/>
  </bookViews>
  <sheets>
    <sheet name="Data" sheetId="4" r:id="rId1"/>
    <sheet name="Calculatrice" sheetId="3" state="hidden" r:id="rId2"/>
  </sheets>
  <definedNames>
    <definedName name="_xlnm.Print_Area" localSheetId="0">Data!$A$1:$E$67</definedName>
  </definedNames>
  <calcPr calcId="162913"/>
</workbook>
</file>

<file path=xl/calcChain.xml><?xml version="1.0" encoding="utf-8"?>
<calcChain xmlns="http://schemas.openxmlformats.org/spreadsheetml/2006/main">
  <c r="L39" i="3" l="1"/>
  <c r="A4" i="3"/>
  <c r="L38" i="3" l="1"/>
  <c r="L37" i="3" l="1"/>
  <c r="B7" i="3" l="1"/>
  <c r="B6" i="3"/>
  <c r="B5" i="3"/>
  <c r="L36" i="3" l="1"/>
  <c r="D66" i="4" l="1"/>
  <c r="O6" i="4"/>
  <c r="O7" i="4" s="1"/>
  <c r="O8" i="4" s="1"/>
  <c r="O10" i="4" s="1"/>
  <c r="O11" i="4" s="1"/>
  <c r="O12" i="4" s="1"/>
  <c r="O13" i="4" s="1"/>
  <c r="O14" i="4" s="1"/>
  <c r="O15" i="4" s="1"/>
  <c r="O16" i="4" s="1"/>
  <c r="O17" i="4" s="1"/>
  <c r="M6" i="4" l="1"/>
  <c r="M7" i="4" s="1"/>
  <c r="M8" i="4" s="1"/>
  <c r="M9" i="4" s="1"/>
  <c r="M10" i="4" s="1"/>
  <c r="M11" i="4" s="1"/>
  <c r="M12" i="4" s="1"/>
  <c r="M13" i="4" s="1"/>
  <c r="M14" i="4" s="1"/>
  <c r="M15" i="4" s="1"/>
  <c r="M16" i="4" s="1"/>
  <c r="M17" i="4" s="1"/>
  <c r="M18" i="4" s="1"/>
  <c r="M19" i="4" s="1"/>
  <c r="M20" i="4" s="1"/>
  <c r="M21" i="4" s="1"/>
  <c r="L35" i="3" l="1"/>
  <c r="L34" i="3"/>
  <c r="L32" i="3"/>
  <c r="L31" i="3"/>
  <c r="L30" i="3"/>
  <c r="L33" i="3"/>
  <c r="L6" i="3" l="1"/>
  <c r="L7" i="3"/>
  <c r="L8" i="3"/>
  <c r="L9" i="3"/>
  <c r="L10" i="3"/>
  <c r="L11" i="3"/>
  <c r="L12" i="3"/>
  <c r="L13" i="3"/>
  <c r="L14" i="3"/>
  <c r="L15" i="3"/>
  <c r="L16" i="3"/>
  <c r="L17" i="3"/>
  <c r="L18" i="3"/>
  <c r="L19" i="3"/>
  <c r="L20" i="3"/>
  <c r="L21" i="3"/>
  <c r="L22" i="3"/>
  <c r="L23" i="3"/>
  <c r="L24" i="3"/>
  <c r="L25" i="3"/>
  <c r="L26" i="3"/>
  <c r="L27" i="3"/>
  <c r="L28" i="3"/>
  <c r="L29" i="3"/>
  <c r="D37" i="4" l="1"/>
  <c r="D44" i="4" s="1"/>
  <c r="A43" i="4"/>
  <c r="A56" i="4" l="1"/>
  <c r="B4" i="3" l="1"/>
  <c r="B8" i="3"/>
  <c r="B9" i="3" s="1"/>
  <c r="B10" i="3" s="1"/>
  <c r="B11" i="3" s="1"/>
  <c r="B12" i="3" s="1"/>
  <c r="B13" i="3" s="1"/>
  <c r="B14" i="3" s="1"/>
  <c r="D60" i="4"/>
  <c r="H2" i="3"/>
  <c r="D24" i="4"/>
  <c r="C24" i="4"/>
  <c r="A35" i="4"/>
  <c r="D47" i="4"/>
  <c r="C39" i="4"/>
  <c r="B15" i="3" l="1"/>
  <c r="E37" i="4"/>
  <c r="D57" i="4" s="1"/>
  <c r="B16" i="3" l="1"/>
  <c r="B17" i="3" l="1"/>
  <c r="B18" i="3" l="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H4" i="3" l="1"/>
  <c r="B8" i="4"/>
  <c r="A5" i="3"/>
  <c r="B9" i="4" s="1"/>
  <c r="A6" i="3" l="1"/>
  <c r="H5" i="3"/>
  <c r="A17" i="4" l="1"/>
  <c r="B10" i="4"/>
  <c r="H6" i="3"/>
  <c r="H7" i="3" s="1"/>
  <c r="H8" i="3" s="1"/>
  <c r="H9" i="3" s="1"/>
  <c r="H10" i="3" s="1"/>
  <c r="H11" i="3" s="1"/>
  <c r="H12" i="3" s="1"/>
  <c r="H13" i="3" s="1"/>
  <c r="H14" i="3" s="1"/>
  <c r="H15" i="3" s="1"/>
  <c r="H16" i="3" s="1"/>
  <c r="H17" i="3" s="1"/>
  <c r="H18" i="3" s="1"/>
  <c r="H19" i="3" s="1"/>
  <c r="H20" i="3" s="1"/>
  <c r="H21" i="3" s="1"/>
  <c r="H22" i="3" s="1"/>
  <c r="H23" i="3" s="1"/>
  <c r="H24" i="3" s="1"/>
  <c r="H25" i="3" s="1"/>
  <c r="H26" i="3" s="1"/>
  <c r="H27" i="3" s="1"/>
  <c r="H28" i="3" s="1"/>
  <c r="H29" i="3" s="1"/>
  <c r="H30" i="3" s="1"/>
  <c r="H31" i="3" s="1"/>
  <c r="H32" i="3" s="1"/>
  <c r="H33" i="3" s="1"/>
  <c r="H34" i="3" s="1"/>
  <c r="H35" i="3" s="1"/>
  <c r="H36" i="3" s="1"/>
  <c r="H37" i="3" s="1"/>
  <c r="H38" i="3" s="1"/>
  <c r="H39" i="3" s="1"/>
  <c r="H40" i="3" s="1"/>
  <c r="H41" i="3" s="1"/>
  <c r="H42" i="3" s="1"/>
  <c r="H43" i="3" s="1"/>
  <c r="H44" i="3" s="1"/>
  <c r="H45" i="3" s="1"/>
  <c r="H46" i="3" s="1"/>
  <c r="H47" i="3" s="1"/>
  <c r="H48" i="3" s="1"/>
  <c r="H49" i="3" s="1"/>
  <c r="H50" i="3" s="1"/>
  <c r="H51" i="3" s="1"/>
  <c r="H52" i="3" s="1"/>
  <c r="H53" i="3" s="1"/>
  <c r="H54" i="3" s="1"/>
  <c r="H55" i="3" s="1"/>
  <c r="A7" i="3"/>
  <c r="B11" i="4" l="1"/>
  <c r="A8" i="3"/>
  <c r="A9" i="3" l="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D30" i="4" l="1"/>
  <c r="C30" i="4"/>
  <c r="D61" i="4" s="1"/>
  <c r="C33" i="4" l="1"/>
  <c r="D33" i="4"/>
  <c r="D56" i="4" s="1"/>
  <c r="D48" i="4"/>
  <c r="C32" i="4"/>
  <c r="E61" i="4"/>
  <c r="D32" i="4"/>
  <c r="D43" i="4" s="1"/>
  <c r="D45" i="4" s="1"/>
  <c r="E52" i="4" s="1"/>
  <c r="D58" i="4" l="1"/>
  <c r="D67" i="4" s="1"/>
  <c r="E65" i="4" l="1"/>
  <c r="E66" i="4" s="1"/>
</calcChain>
</file>

<file path=xl/sharedStrings.xml><?xml version="1.0" encoding="utf-8"?>
<sst xmlns="http://schemas.openxmlformats.org/spreadsheetml/2006/main" count="68" uniqueCount="64">
  <si>
    <t>Mois</t>
  </si>
  <si>
    <t>Année</t>
  </si>
  <si>
    <t>En date du:</t>
  </si>
  <si>
    <t>Rente pour service &gt; 2010 salaire carrière</t>
  </si>
  <si>
    <t>Salaire pour calcul</t>
  </si>
  <si>
    <t>max impôt</t>
  </si>
  <si>
    <t>Salaire carrière</t>
  </si>
  <si>
    <t>Salaire moyen final 3 ans à la date de retraite prévue:</t>
  </si>
  <si>
    <t>Rente pour service &lt; 2013</t>
  </si>
  <si>
    <t>Rente pour service avant 2014:</t>
  </si>
  <si>
    <t>Rente pour service 2014 et après:</t>
  </si>
  <si>
    <t>limit</t>
  </si>
  <si>
    <t>Jour</t>
  </si>
  <si>
    <t>Salaire annuel</t>
  </si>
  <si>
    <t>Nom :</t>
  </si>
  <si>
    <t>Date de naissance</t>
  </si>
  <si>
    <t>Date de retraite désirée:</t>
  </si>
  <si>
    <t>avec règle de 90</t>
  </si>
  <si>
    <t>sans règle de 90</t>
  </si>
  <si>
    <t>(AAAA)</t>
  </si>
  <si>
    <t>(MM)</t>
  </si>
  <si>
    <t>Calcul de vos acquis de pension jusqu'au 31 décembre 2013  ( avant l'actualisation du régime)</t>
  </si>
  <si>
    <t>Calcul de vos acquis de pension à partir du 1er janvier 2014  (après l'actualisation du régime)</t>
  </si>
  <si>
    <t>Moyenne salariale - 3 meilleures années (plafond salarial 86 111 $)</t>
  </si>
  <si>
    <t>Pourcentage annuel d'augmentation  salariale future</t>
  </si>
  <si>
    <t>Nombre d'années de  service créditées avant 2014</t>
  </si>
  <si>
    <t>Nombre d'années de service créditées apres 2013</t>
  </si>
  <si>
    <t># mois pour atteindre la retraite désirée versus la date de retraite normale                                                                            ( Utilisé pour le calcul de la pénalité)</t>
  </si>
  <si>
    <t>Moyenne salariale - 3 meilleures années (sujet à la limite prescrite)</t>
  </si>
  <si>
    <t xml:space="preserve">Limite </t>
  </si>
  <si>
    <t>Réduction %</t>
  </si>
  <si>
    <t>Réduction $</t>
  </si>
  <si>
    <t>Estimation de prestation annuelle à la retraite</t>
  </si>
  <si>
    <t>Estimation de la prestation en date du :</t>
  </si>
  <si>
    <t>Prestation accumulée jusqu'au 31 décembre 2013</t>
  </si>
  <si>
    <t>Prestation accumulée à partir de janvier 2014</t>
  </si>
  <si>
    <t xml:space="preserve">Estimation totale de votre prestation à la retraite au </t>
  </si>
  <si>
    <t>https://www.canada.ca/en/revenue-agency/services/tax/registered-plans-administrators/pspa/mp-rrsp-dpsp-tfsa-limits-ympe.html</t>
  </si>
  <si>
    <t>Plafond des PD</t>
  </si>
  <si>
    <t>Depuis 2014
1.5%</t>
  </si>
  <si>
    <t>Depuis 1992
2 %</t>
  </si>
  <si>
    <t>Avant 1992
2 %</t>
  </si>
  <si>
    <t>Salaire max</t>
  </si>
  <si>
    <t>Les renseignements et la calculatrice interactive vous sont offerts en tant qu'outils libre-service pour votre usage personnel. L’information présentée ou y figurant est de nature générale et est mise à votre disposition à titre d’information générale seulement et « telle quelle », sans aucune garantie notamment au niveau de son exactitude ou de sa caducité. Cette information ne doit pas être interprétée comme constituant un ou des conseils ou avis professionnel. Si vous avez besoin de conseils particuliers, veuillez consulter un professionnel qualifié dans ce domaine. Pour de l’information générale, vous pouvez vous adresser au service des ressources humaines de l’Université.</t>
  </si>
  <si>
    <t>Avis :</t>
  </si>
  <si>
    <t>janvier</t>
  </si>
  <si>
    <t>février</t>
  </si>
  <si>
    <t>mars</t>
  </si>
  <si>
    <t>avril</t>
  </si>
  <si>
    <t>mai</t>
  </si>
  <si>
    <t>juin</t>
  </si>
  <si>
    <t>juillet</t>
  </si>
  <si>
    <t>août</t>
  </si>
  <si>
    <t>septembre</t>
  </si>
  <si>
    <t>octobre</t>
  </si>
  <si>
    <t>novembre</t>
  </si>
  <si>
    <t>décembre</t>
  </si>
  <si>
    <t xml:space="preserve"> Rachat Avant 1992
2 %</t>
  </si>
  <si>
    <t xml:space="preserve"> Rachat Depuis 1992
2 %</t>
  </si>
  <si>
    <t>Indiquer l’augmentation future annuelle que vous prévoyez pour votre salaire. Si vous ne savez pas ou que vous pensez que votre salaire n’augmentera pas, indiquez 0.00%.</t>
  </si>
  <si>
    <r>
      <t>Date à l'âge 65 ans</t>
    </r>
    <r>
      <rPr>
        <sz val="11"/>
        <rFont val="Arial"/>
        <family val="2"/>
      </rPr>
      <t xml:space="preserve"> (1</t>
    </r>
    <r>
      <rPr>
        <vertAlign val="superscript"/>
        <sz val="11"/>
        <rFont val="Arial"/>
        <family val="2"/>
      </rPr>
      <t>er</t>
    </r>
    <r>
      <rPr>
        <sz val="11"/>
        <rFont val="Arial"/>
        <family val="2"/>
      </rPr>
      <t xml:space="preserve"> du mois suivant, services après 2014)</t>
    </r>
  </si>
  <si>
    <r>
      <t xml:space="preserve">Date de retraite normale: </t>
    </r>
    <r>
      <rPr>
        <sz val="11"/>
        <rFont val="Arial"/>
        <family val="2"/>
      </rPr>
      <t>(services avant 2014 si applicable)</t>
    </r>
  </si>
  <si>
    <t>Régime de pension des professeures, professeurs et bibliothécaires de l'Université de Moncton</t>
  </si>
  <si>
    <r>
      <t>Montant  total de la réduction :</t>
    </r>
    <r>
      <rPr>
        <b/>
        <sz val="10"/>
        <color rgb="FFFF0000"/>
        <rFont val="Arial"/>
        <family val="2"/>
      </rPr>
      <t xml:space="preserve"> (déjà réduit du montant de la prestation estimée)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</si>
</sst>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7" formatCode="&quot;$&quot;#,##0.00_);\(&quot;$&quot;#,##0.00\)"/>
    <numFmt numFmtId="44" formatCode="_(&quot;$&quot;* #,##0.00_);_(&quot;$&quot;* \(#,##0.00\);_(&quot;$&quot;* &quot;-&quot;??_);_(@_)"/>
    <numFmt numFmtId="164" formatCode="&quot;$&quot;#,##0.00;[Red]\-&quot;$&quot;#,##0.00"/>
    <numFmt numFmtId="165" formatCode="[$-C0C]d\ mmm\ yyyy;@"/>
    <numFmt numFmtId="166" formatCode="&quot;$&quot;#,##0.0000_);\(&quot;$&quot;#,##0.0000\)"/>
    <numFmt numFmtId="167" formatCode="&quot;$&quot;#,##0.00"/>
    <numFmt numFmtId="168" formatCode="General_)"/>
    <numFmt numFmtId="169" formatCode="[$-F800]dddd\,\ mmmm\ dd\,\ yyyy"/>
    <numFmt numFmtId="170" formatCode="#,##0\ &quot;$&quot;"/>
    <numFmt numFmtId="171" formatCode="0.0000"/>
    <numFmt numFmtId="172" formatCode="[$-C0C]mmmm"/>
  </numFmts>
  <fonts count="29" x14ac:knownFonts="1">
    <font>
      <sz val="10"/>
      <name val="Arial"/>
    </font>
    <font>
      <sz val="10"/>
      <name val="Arial"/>
      <family val="2"/>
    </font>
    <font>
      <sz val="8"/>
      <name val="Arial"/>
      <family val="2"/>
    </font>
    <font>
      <sz val="10"/>
      <color indexed="12"/>
      <name val="Arial"/>
      <family val="2"/>
    </font>
    <font>
      <b/>
      <sz val="12"/>
      <name val="Arial"/>
      <family val="2"/>
    </font>
    <font>
      <b/>
      <sz val="11"/>
      <color indexed="8"/>
      <name val="Arial"/>
      <family val="2"/>
    </font>
    <font>
      <sz val="11"/>
      <color indexed="8"/>
      <name val="Arial"/>
      <family val="2"/>
    </font>
    <font>
      <b/>
      <sz val="11"/>
      <name val="Arial"/>
      <family val="2"/>
    </font>
    <font>
      <b/>
      <sz val="16"/>
      <name val="Arial"/>
      <family val="2"/>
    </font>
    <font>
      <sz val="11"/>
      <name val="Arial"/>
      <family val="2"/>
    </font>
    <font>
      <sz val="11"/>
      <color indexed="12"/>
      <name val="Arial"/>
      <family val="2"/>
    </font>
    <font>
      <b/>
      <sz val="16"/>
      <color indexed="8"/>
      <name val="Arial"/>
      <family val="2"/>
    </font>
    <font>
      <b/>
      <sz val="10"/>
      <name val="Arial"/>
      <family val="2"/>
    </font>
    <font>
      <sz val="11"/>
      <color theme="0"/>
      <name val="Arial"/>
      <family val="2"/>
    </font>
    <font>
      <sz val="11"/>
      <color rgb="FF1414AC"/>
      <name val="Arial"/>
      <family val="2"/>
    </font>
    <font>
      <sz val="11"/>
      <color rgb="FF002060"/>
      <name val="Arial"/>
      <family val="2"/>
    </font>
    <font>
      <sz val="12"/>
      <color rgb="FF1414AC"/>
      <name val="Arial"/>
      <family val="2"/>
    </font>
    <font>
      <sz val="12"/>
      <color rgb="FF002060"/>
      <name val="Arial"/>
      <family val="2"/>
    </font>
    <font>
      <sz val="11"/>
      <color theme="1"/>
      <name val="Arial"/>
      <family val="2"/>
    </font>
    <font>
      <b/>
      <sz val="14"/>
      <color rgb="FFFF0000"/>
      <name val="Arial"/>
      <family val="2"/>
    </font>
    <font>
      <sz val="14"/>
      <color rgb="FF1414AC"/>
      <name val="Arial"/>
      <family val="2"/>
    </font>
    <font>
      <sz val="10"/>
      <color rgb="FF00B050"/>
      <name val="Arial"/>
      <family val="2"/>
    </font>
    <font>
      <u/>
      <sz val="10"/>
      <color theme="10"/>
      <name val="Arial"/>
      <family val="2"/>
    </font>
    <font>
      <sz val="11"/>
      <color rgb="FFFF0000"/>
      <name val="Arial"/>
      <family val="2"/>
    </font>
    <font>
      <sz val="10"/>
      <color rgb="FF00B050"/>
      <name val="Arial"/>
      <family val="2"/>
    </font>
    <font>
      <sz val="10"/>
      <color rgb="FF00B050"/>
      <name val="Arial"/>
      <family val="2"/>
    </font>
    <font>
      <sz val="10"/>
      <color rgb="FF0070C0"/>
      <name val="Arial"/>
      <family val="2"/>
    </font>
    <font>
      <vertAlign val="superscript"/>
      <sz val="11"/>
      <name val="Arial"/>
      <family val="2"/>
    </font>
    <font>
      <b/>
      <sz val="10"/>
      <color rgb="FFFF0000"/>
      <name val="Arial"/>
      <family val="2"/>
    </font>
  </fonts>
  <fills count="10">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rgb="FFFFFF00"/>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rgb="FFFFFFCC"/>
        <bgColor indexed="64"/>
      </patternFill>
    </fill>
    <fill>
      <patternFill patternType="solid">
        <fgColor theme="6" tint="0.39997558519241921"/>
        <bgColor indexed="64"/>
      </patternFill>
    </fill>
  </fills>
  <borders count="28">
    <border>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bottom style="thin">
        <color indexed="64"/>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s>
  <cellStyleXfs count="3">
    <xf numFmtId="0" fontId="0" fillId="0" borderId="0"/>
    <xf numFmtId="44" fontId="1" fillId="0" borderId="0" applyFont="0" applyFill="0" applyBorder="0" applyAlignment="0" applyProtection="0"/>
    <xf numFmtId="0" fontId="22" fillId="0" borderId="0" applyNumberFormat="0" applyFill="0" applyBorder="0" applyAlignment="0" applyProtection="0"/>
  </cellStyleXfs>
  <cellXfs count="159">
    <xf numFmtId="0" fontId="0" fillId="0" borderId="0" xfId="0"/>
    <xf numFmtId="10" fontId="3" fillId="0" borderId="0" xfId="0" applyNumberFormat="1" applyFont="1"/>
    <xf numFmtId="7" fontId="0" fillId="0" borderId="0" xfId="0" applyNumberFormat="1"/>
    <xf numFmtId="166" fontId="0" fillId="0" borderId="0" xfId="0" applyNumberFormat="1"/>
    <xf numFmtId="7" fontId="3" fillId="0" borderId="0" xfId="0" applyNumberFormat="1" applyFont="1"/>
    <xf numFmtId="0" fontId="3" fillId="0" borderId="0" xfId="0" applyFont="1"/>
    <xf numFmtId="0" fontId="0" fillId="0" borderId="0" xfId="0" applyAlignment="1">
      <alignment horizontal="centerContinuous"/>
    </xf>
    <xf numFmtId="0" fontId="1" fillId="0" borderId="0" xfId="0" applyFont="1"/>
    <xf numFmtId="0" fontId="9" fillId="0" borderId="0" xfId="0" applyFont="1"/>
    <xf numFmtId="7" fontId="10" fillId="0" borderId="0" xfId="1" applyNumberFormat="1" applyFont="1" applyAlignment="1">
      <alignment horizontal="center"/>
    </xf>
    <xf numFmtId="165" fontId="9" fillId="0" borderId="0" xfId="0" applyNumberFormat="1" applyFont="1" applyAlignment="1">
      <alignment horizontal="center"/>
    </xf>
    <xf numFmtId="2" fontId="10" fillId="0" borderId="0" xfId="0" applyNumberFormat="1" applyFont="1" applyAlignment="1">
      <alignment horizontal="center"/>
    </xf>
    <xf numFmtId="0" fontId="7" fillId="0" borderId="0" xfId="0" applyFont="1"/>
    <xf numFmtId="0" fontId="10" fillId="0" borderId="0" xfId="0" applyFont="1" applyAlignment="1">
      <alignment horizontal="center"/>
    </xf>
    <xf numFmtId="0" fontId="13" fillId="0" borderId="0" xfId="0" applyFont="1"/>
    <xf numFmtId="168" fontId="9" fillId="0" borderId="0" xfId="0" applyNumberFormat="1" applyFont="1"/>
    <xf numFmtId="0" fontId="4" fillId="3" borderId="4" xfId="0" applyFont="1" applyFill="1" applyBorder="1" applyAlignment="1">
      <alignment horizontal="center"/>
    </xf>
    <xf numFmtId="10" fontId="14" fillId="4" borderId="4" xfId="0" applyNumberFormat="1" applyFont="1" applyFill="1" applyBorder="1" applyAlignment="1" applyProtection="1">
      <alignment horizontal="center"/>
      <protection locked="0"/>
    </xf>
    <xf numFmtId="0" fontId="9" fillId="0" borderId="0" xfId="0" applyFont="1" applyProtection="1"/>
    <xf numFmtId="10" fontId="10" fillId="0" borderId="0" xfId="0" applyNumberFormat="1" applyFont="1" applyAlignment="1" applyProtection="1">
      <alignment horizontal="center"/>
    </xf>
    <xf numFmtId="0" fontId="9" fillId="0" borderId="0" xfId="0" applyFont="1" applyAlignment="1" applyProtection="1">
      <alignment horizontal="center"/>
    </xf>
    <xf numFmtId="0" fontId="9" fillId="5" borderId="0" xfId="0" applyFont="1" applyFill="1" applyAlignment="1" applyProtection="1">
      <alignment horizontal="center"/>
    </xf>
    <xf numFmtId="167" fontId="9" fillId="0" borderId="0" xfId="1" applyNumberFormat="1" applyFont="1" applyAlignment="1" applyProtection="1">
      <alignment horizontal="center"/>
    </xf>
    <xf numFmtId="7" fontId="9" fillId="0" borderId="0" xfId="0" applyNumberFormat="1" applyFont="1" applyProtection="1"/>
    <xf numFmtId="1" fontId="0" fillId="0" borderId="0" xfId="0" applyNumberFormat="1"/>
    <xf numFmtId="7" fontId="16" fillId="4" borderId="11" xfId="1" applyNumberFormat="1" applyFont="1" applyFill="1" applyBorder="1" applyAlignment="1" applyProtection="1">
      <alignment horizontal="center"/>
      <protection locked="0"/>
    </xf>
    <xf numFmtId="0" fontId="16" fillId="7" borderId="4" xfId="0" applyFont="1" applyFill="1" applyBorder="1" applyAlignment="1" applyProtection="1">
      <alignment horizontal="center"/>
      <protection locked="0"/>
    </xf>
    <xf numFmtId="1" fontId="17" fillId="7" borderId="12" xfId="0" applyNumberFormat="1" applyFont="1" applyFill="1" applyBorder="1" applyAlignment="1" applyProtection="1">
      <alignment horizontal="center"/>
      <protection locked="0"/>
    </xf>
    <xf numFmtId="0" fontId="16" fillId="4" borderId="4" xfId="0" applyFont="1" applyFill="1" applyBorder="1" applyAlignment="1" applyProtection="1">
      <alignment horizontal="center"/>
      <protection locked="0"/>
    </xf>
    <xf numFmtId="1" fontId="17" fillId="7" borderId="4" xfId="0" applyNumberFormat="1" applyFont="1" applyFill="1" applyBorder="1" applyAlignment="1" applyProtection="1">
      <alignment horizontal="center"/>
      <protection locked="0"/>
    </xf>
    <xf numFmtId="0" fontId="9" fillId="0" borderId="0" xfId="0" applyFont="1" applyFill="1" applyBorder="1" applyAlignment="1">
      <alignment horizontal="center"/>
    </xf>
    <xf numFmtId="10" fontId="0" fillId="0" borderId="0" xfId="0" applyNumberFormat="1"/>
    <xf numFmtId="0" fontId="0" fillId="0" borderId="0" xfId="0" applyBorder="1"/>
    <xf numFmtId="0" fontId="9" fillId="0" borderId="0" xfId="0" applyFont="1" applyBorder="1"/>
    <xf numFmtId="0" fontId="4" fillId="0" borderId="0" xfId="0" applyFont="1" applyFill="1" applyBorder="1" applyAlignment="1" applyProtection="1">
      <alignment vertical="center"/>
    </xf>
    <xf numFmtId="171" fontId="16" fillId="4" borderId="4" xfId="0" applyNumberFormat="1" applyFont="1" applyFill="1" applyBorder="1" applyAlignment="1" applyProtection="1">
      <alignment horizontal="center"/>
      <protection locked="0"/>
    </xf>
    <xf numFmtId="0" fontId="21" fillId="0" borderId="0" xfId="0" applyFont="1"/>
    <xf numFmtId="164" fontId="21" fillId="0" borderId="0" xfId="0" applyNumberFormat="1" applyFont="1"/>
    <xf numFmtId="0" fontId="22" fillId="0" borderId="0" xfId="2"/>
    <xf numFmtId="0" fontId="23" fillId="0" borderId="0" xfId="0" applyFont="1"/>
    <xf numFmtId="7" fontId="9" fillId="0" borderId="0" xfId="0" applyNumberFormat="1" applyFont="1"/>
    <xf numFmtId="7" fontId="9" fillId="5" borderId="0" xfId="0" applyNumberFormat="1" applyFont="1" applyFill="1" applyAlignment="1" applyProtection="1">
      <alignment horizontal="center"/>
    </xf>
    <xf numFmtId="167" fontId="9" fillId="5" borderId="0" xfId="1" applyNumberFormat="1" applyFont="1" applyFill="1" applyAlignment="1" applyProtection="1">
      <alignment horizontal="center"/>
    </xf>
    <xf numFmtId="0" fontId="9" fillId="0" borderId="0" xfId="0" applyFont="1" applyAlignment="1">
      <alignment horizontal="distributed" wrapText="1"/>
    </xf>
    <xf numFmtId="1" fontId="16" fillId="7" borderId="10" xfId="0" applyNumberFormat="1" applyFont="1" applyFill="1" applyBorder="1" applyAlignment="1" applyProtection="1">
      <alignment horizontal="center"/>
      <protection locked="0"/>
    </xf>
    <xf numFmtId="0" fontId="9" fillId="2" borderId="5" xfId="0" applyFont="1" applyFill="1" applyBorder="1" applyProtection="1">
      <protection hidden="1"/>
    </xf>
    <xf numFmtId="0" fontId="9" fillId="2" borderId="3" xfId="0" applyFont="1" applyFill="1" applyBorder="1" applyProtection="1">
      <protection hidden="1"/>
    </xf>
    <xf numFmtId="0" fontId="9" fillId="2" borderId="4" xfId="0" applyFont="1" applyFill="1" applyBorder="1" applyAlignment="1" applyProtection="1">
      <alignment horizontal="center"/>
      <protection hidden="1"/>
    </xf>
    <xf numFmtId="1" fontId="10" fillId="3" borderId="10" xfId="0" applyNumberFormat="1" applyFont="1" applyFill="1" applyBorder="1" applyAlignment="1" applyProtection="1">
      <alignment horizontal="center"/>
      <protection hidden="1"/>
    </xf>
    <xf numFmtId="0" fontId="7" fillId="2" borderId="5" xfId="0" applyFont="1" applyFill="1" applyBorder="1" applyProtection="1">
      <protection hidden="1"/>
    </xf>
    <xf numFmtId="1" fontId="15" fillId="3" borderId="4" xfId="0" applyNumberFormat="1" applyFont="1" applyFill="1" applyBorder="1" applyAlignment="1" applyProtection="1">
      <alignment horizontal="center"/>
      <protection hidden="1"/>
    </xf>
    <xf numFmtId="0" fontId="15" fillId="3" borderId="4" xfId="0" applyFont="1" applyFill="1" applyBorder="1" applyAlignment="1" applyProtection="1">
      <alignment horizontal="center"/>
      <protection hidden="1"/>
    </xf>
    <xf numFmtId="0" fontId="9" fillId="3" borderId="3" xfId="0" applyFont="1" applyFill="1" applyBorder="1" applyProtection="1">
      <protection hidden="1"/>
    </xf>
    <xf numFmtId="0" fontId="7" fillId="2" borderId="1" xfId="0" applyFont="1" applyFill="1" applyBorder="1" applyProtection="1">
      <protection hidden="1"/>
    </xf>
    <xf numFmtId="0" fontId="9" fillId="2" borderId="2" xfId="0" applyFont="1" applyFill="1" applyBorder="1" applyProtection="1">
      <protection hidden="1"/>
    </xf>
    <xf numFmtId="7" fontId="7" fillId="2" borderId="5" xfId="1" applyNumberFormat="1" applyFont="1" applyFill="1" applyBorder="1" applyAlignment="1" applyProtection="1">
      <alignment horizontal="left"/>
      <protection hidden="1"/>
    </xf>
    <xf numFmtId="0" fontId="0" fillId="2" borderId="9" xfId="0" applyFill="1" applyBorder="1" applyProtection="1">
      <protection hidden="1"/>
    </xf>
    <xf numFmtId="0" fontId="4" fillId="0" borderId="4" xfId="0" applyFont="1" applyBorder="1" applyProtection="1">
      <protection hidden="1"/>
    </xf>
    <xf numFmtId="0" fontId="18" fillId="0" borderId="0" xfId="0" applyFont="1" applyAlignment="1" applyProtection="1">
      <alignment horizontal="center"/>
      <protection hidden="1"/>
    </xf>
    <xf numFmtId="10" fontId="18" fillId="0" borderId="0" xfId="0" applyNumberFormat="1" applyFont="1" applyAlignment="1" applyProtection="1">
      <alignment horizontal="center"/>
      <protection hidden="1"/>
    </xf>
    <xf numFmtId="10" fontId="9" fillId="6" borderId="15" xfId="0" applyNumberFormat="1" applyFont="1" applyFill="1" applyBorder="1" applyAlignment="1" applyProtection="1">
      <alignment horizontal="center"/>
      <protection hidden="1"/>
    </xf>
    <xf numFmtId="0" fontId="9" fillId="6" borderId="16" xfId="0" applyFont="1" applyFill="1" applyBorder="1" applyAlignment="1" applyProtection="1">
      <alignment horizontal="center"/>
      <protection hidden="1"/>
    </xf>
    <xf numFmtId="0" fontId="9" fillId="6" borderId="17" xfId="0" applyFont="1" applyFill="1" applyBorder="1" applyAlignment="1" applyProtection="1">
      <alignment horizontal="center"/>
      <protection hidden="1"/>
    </xf>
    <xf numFmtId="0" fontId="9" fillId="6" borderId="18" xfId="0" applyFont="1" applyFill="1" applyBorder="1" applyAlignment="1" applyProtection="1">
      <alignment horizontal="center"/>
      <protection hidden="1"/>
    </xf>
    <xf numFmtId="0" fontId="8" fillId="0" borderId="0" xfId="0" applyFont="1" applyAlignment="1" applyProtection="1">
      <alignment horizontal="left"/>
      <protection hidden="1"/>
    </xf>
    <xf numFmtId="0" fontId="8" fillId="0" borderId="0" xfId="0" applyFont="1" applyAlignment="1" applyProtection="1">
      <alignment horizontal="center"/>
      <protection hidden="1"/>
    </xf>
    <xf numFmtId="0" fontId="7" fillId="8" borderId="14" xfId="0" applyFont="1" applyFill="1" applyBorder="1" applyProtection="1">
      <protection hidden="1"/>
    </xf>
    <xf numFmtId="0" fontId="9" fillId="8" borderId="0" xfId="0" applyFont="1" applyFill="1" applyBorder="1" applyProtection="1">
      <protection hidden="1"/>
    </xf>
    <xf numFmtId="0" fontId="9" fillId="8" borderId="19" xfId="0" applyFont="1" applyFill="1" applyBorder="1" applyProtection="1">
      <protection hidden="1"/>
    </xf>
    <xf numFmtId="0" fontId="9" fillId="8" borderId="21" xfId="0" applyFont="1" applyFill="1" applyBorder="1" applyProtection="1">
      <protection hidden="1"/>
    </xf>
    <xf numFmtId="168" fontId="5" fillId="8" borderId="14" xfId="0" quotePrefix="1" applyNumberFormat="1" applyFont="1" applyFill="1" applyBorder="1" applyAlignment="1" applyProtection="1">
      <alignment horizontal="left"/>
      <protection hidden="1"/>
    </xf>
    <xf numFmtId="0" fontId="6" fillId="8" borderId="0" xfId="0" applyFont="1" applyFill="1" applyBorder="1" applyProtection="1">
      <protection hidden="1"/>
    </xf>
    <xf numFmtId="169" fontId="6" fillId="8" borderId="0" xfId="0" applyNumberFormat="1" applyFont="1" applyFill="1" applyBorder="1" applyProtection="1">
      <protection hidden="1"/>
    </xf>
    <xf numFmtId="170" fontId="6" fillId="8" borderId="19" xfId="0" applyNumberFormat="1" applyFont="1" applyFill="1" applyBorder="1" applyProtection="1">
      <protection hidden="1"/>
    </xf>
    <xf numFmtId="0" fontId="9" fillId="8" borderId="14" xfId="0" applyFont="1" applyFill="1" applyBorder="1" applyProtection="1">
      <protection hidden="1"/>
    </xf>
    <xf numFmtId="10" fontId="9" fillId="8" borderId="19" xfId="0" applyNumberFormat="1" applyFont="1" applyFill="1" applyBorder="1" applyProtection="1">
      <protection hidden="1"/>
    </xf>
    <xf numFmtId="170" fontId="9" fillId="8" borderId="19" xfId="1" applyNumberFormat="1" applyFont="1" applyFill="1" applyBorder="1" applyProtection="1">
      <protection hidden="1"/>
    </xf>
    <xf numFmtId="0" fontId="6" fillId="8" borderId="21" xfId="0" applyFont="1" applyFill="1" applyBorder="1" applyProtection="1">
      <protection hidden="1"/>
    </xf>
    <xf numFmtId="168" fontId="6" fillId="8" borderId="14" xfId="0" quotePrefix="1" applyNumberFormat="1" applyFont="1" applyFill="1" applyBorder="1" applyAlignment="1" applyProtection="1">
      <alignment horizontal="left"/>
      <protection hidden="1"/>
    </xf>
    <xf numFmtId="168" fontId="6" fillId="8" borderId="19" xfId="0" applyNumberFormat="1" applyFont="1" applyFill="1" applyBorder="1" applyProtection="1">
      <protection hidden="1"/>
    </xf>
    <xf numFmtId="168" fontId="5" fillId="8" borderId="22" xfId="0" applyNumberFormat="1" applyFont="1" applyFill="1" applyBorder="1" applyAlignment="1" applyProtection="1">
      <alignment horizontal="left"/>
      <protection hidden="1"/>
    </xf>
    <xf numFmtId="0" fontId="6" fillId="8" borderId="20" xfId="0" applyFont="1" applyFill="1" applyBorder="1" applyProtection="1">
      <protection hidden="1"/>
    </xf>
    <xf numFmtId="170" fontId="6" fillId="8" borderId="12" xfId="0" applyNumberFormat="1" applyFont="1" applyFill="1" applyBorder="1" applyProtection="1">
      <protection hidden="1"/>
    </xf>
    <xf numFmtId="0" fontId="6" fillId="8" borderId="23" xfId="0" applyFont="1" applyFill="1" applyBorder="1" applyProtection="1">
      <protection hidden="1"/>
    </xf>
    <xf numFmtId="170" fontId="6" fillId="8" borderId="0" xfId="0" applyNumberFormat="1" applyFont="1" applyFill="1" applyBorder="1" applyProtection="1">
      <protection hidden="1"/>
    </xf>
    <xf numFmtId="170" fontId="9" fillId="8" borderId="0" xfId="0" applyNumberFormat="1" applyFont="1" applyFill="1" applyBorder="1" applyProtection="1">
      <protection hidden="1"/>
    </xf>
    <xf numFmtId="168" fontId="5" fillId="8" borderId="5" xfId="0" quotePrefix="1" applyNumberFormat="1" applyFont="1" applyFill="1" applyBorder="1" applyAlignment="1" applyProtection="1">
      <alignment horizontal="left"/>
      <protection hidden="1"/>
    </xf>
    <xf numFmtId="0" fontId="9" fillId="8" borderId="9" xfId="0" applyFont="1" applyFill="1" applyBorder="1" applyProtection="1">
      <protection hidden="1"/>
    </xf>
    <xf numFmtId="0" fontId="9" fillId="8" borderId="3" xfId="0" applyFont="1" applyFill="1" applyBorder="1" applyProtection="1">
      <protection hidden="1"/>
    </xf>
    <xf numFmtId="170" fontId="5" fillId="8" borderId="4" xfId="0" applyNumberFormat="1" applyFont="1" applyFill="1" applyBorder="1" applyProtection="1">
      <protection hidden="1"/>
    </xf>
    <xf numFmtId="168" fontId="5" fillId="0" borderId="0" xfId="0" applyNumberFormat="1" applyFont="1" applyAlignment="1" applyProtection="1">
      <alignment horizontal="left"/>
      <protection hidden="1"/>
    </xf>
    <xf numFmtId="0" fontId="6" fillId="0" borderId="0" xfId="0" applyFont="1" applyProtection="1">
      <protection hidden="1"/>
    </xf>
    <xf numFmtId="170" fontId="9" fillId="0" borderId="0" xfId="0" applyNumberFormat="1" applyFont="1" applyProtection="1">
      <protection hidden="1"/>
    </xf>
    <xf numFmtId="0" fontId="9" fillId="0" borderId="0" xfId="0" applyFont="1" applyProtection="1">
      <protection hidden="1"/>
    </xf>
    <xf numFmtId="168" fontId="6" fillId="8" borderId="21" xfId="0" applyNumberFormat="1" applyFont="1" applyFill="1" applyBorder="1" applyAlignment="1" applyProtection="1">
      <alignment horizontal="left"/>
      <protection hidden="1"/>
    </xf>
    <xf numFmtId="168" fontId="5" fillId="8" borderId="14" xfId="0" applyNumberFormat="1" applyFont="1" applyFill="1" applyBorder="1" applyAlignment="1" applyProtection="1">
      <alignment horizontal="left"/>
      <protection hidden="1"/>
    </xf>
    <xf numFmtId="169" fontId="6" fillId="8" borderId="20" xfId="0" applyNumberFormat="1" applyFont="1" applyFill="1" applyBorder="1" applyProtection="1">
      <protection hidden="1"/>
    </xf>
    <xf numFmtId="167" fontId="6" fillId="8" borderId="23" xfId="0" applyNumberFormat="1" applyFont="1" applyFill="1" applyBorder="1" applyProtection="1">
      <protection hidden="1"/>
    </xf>
    <xf numFmtId="0" fontId="6" fillId="8" borderId="9" xfId="0" applyFont="1" applyFill="1" applyBorder="1" applyProtection="1">
      <protection hidden="1"/>
    </xf>
    <xf numFmtId="170" fontId="9" fillId="8" borderId="3" xfId="0" applyNumberFormat="1" applyFont="1" applyFill="1" applyBorder="1" applyProtection="1">
      <protection hidden="1"/>
    </xf>
    <xf numFmtId="169" fontId="11" fillId="6" borderId="3" xfId="0" applyNumberFormat="1" applyFont="1" applyFill="1" applyBorder="1" applyAlignment="1" applyProtection="1">
      <alignment horizontal="center" shrinkToFit="1"/>
      <protection hidden="1"/>
    </xf>
    <xf numFmtId="170" fontId="11" fillId="6" borderId="4" xfId="0" quotePrefix="1" applyNumberFormat="1" applyFont="1" applyFill="1" applyBorder="1" applyAlignment="1" applyProtection="1">
      <protection hidden="1"/>
    </xf>
    <xf numFmtId="0" fontId="19" fillId="0" borderId="9" xfId="0" applyFont="1" applyFill="1" applyBorder="1" applyProtection="1">
      <protection hidden="1"/>
    </xf>
    <xf numFmtId="170" fontId="19" fillId="0" borderId="3" xfId="0" applyNumberFormat="1" applyFont="1" applyFill="1" applyBorder="1" applyProtection="1">
      <protection hidden="1"/>
    </xf>
    <xf numFmtId="0" fontId="7" fillId="0" borderId="4" xfId="0" applyFont="1" applyBorder="1" applyAlignment="1" applyProtection="1">
      <alignment horizontal="center"/>
      <protection hidden="1"/>
    </xf>
    <xf numFmtId="0" fontId="7" fillId="0" borderId="3" xfId="0" applyFont="1" applyBorder="1" applyAlignment="1" applyProtection="1">
      <alignment horizontal="center"/>
      <protection hidden="1"/>
    </xf>
    <xf numFmtId="165" fontId="9" fillId="0" borderId="6" xfId="0" applyNumberFormat="1" applyFont="1" applyBorder="1" applyAlignment="1" applyProtection="1">
      <alignment horizontal="center"/>
      <protection hidden="1"/>
    </xf>
    <xf numFmtId="165" fontId="9" fillId="0" borderId="7" xfId="0" applyNumberFormat="1" applyFont="1" applyBorder="1" applyAlignment="1" applyProtection="1">
      <alignment horizontal="center"/>
      <protection hidden="1"/>
    </xf>
    <xf numFmtId="165" fontId="9" fillId="0" borderId="8" xfId="0" applyNumberFormat="1" applyFont="1" applyBorder="1" applyAlignment="1" applyProtection="1">
      <alignment horizontal="center"/>
      <protection hidden="1"/>
    </xf>
    <xf numFmtId="0" fontId="7" fillId="3" borderId="11" xfId="0" applyFont="1" applyFill="1" applyBorder="1" applyAlignment="1" applyProtection="1">
      <alignment horizontal="center" wrapText="1"/>
      <protection hidden="1"/>
    </xf>
    <xf numFmtId="0" fontId="7" fillId="3" borderId="13" xfId="0" applyFont="1" applyFill="1" applyBorder="1" applyAlignment="1" applyProtection="1">
      <alignment horizontal="center" vertical="top" wrapText="1"/>
      <protection hidden="1"/>
    </xf>
    <xf numFmtId="0" fontId="7" fillId="3" borderId="6" xfId="0" applyFont="1" applyFill="1" applyBorder="1" applyAlignment="1" applyProtection="1">
      <alignment horizontal="center" vertical="center" wrapText="1"/>
      <protection hidden="1"/>
    </xf>
    <xf numFmtId="168" fontId="19" fillId="0" borderId="5" xfId="0" quotePrefix="1" applyNumberFormat="1" applyFont="1" applyFill="1" applyBorder="1" applyAlignment="1" applyProtection="1">
      <alignment horizontal="left"/>
      <protection hidden="1"/>
    </xf>
    <xf numFmtId="168" fontId="6" fillId="0" borderId="0" xfId="0" quotePrefix="1" applyNumberFormat="1" applyFont="1" applyAlignment="1" applyProtection="1">
      <alignment horizontal="left"/>
      <protection hidden="1"/>
    </xf>
    <xf numFmtId="172" fontId="1" fillId="0" borderId="0" xfId="0" applyNumberFormat="1" applyFont="1"/>
    <xf numFmtId="0" fontId="25" fillId="0" borderId="0" xfId="0" applyFont="1"/>
    <xf numFmtId="164" fontId="25" fillId="0" borderId="0" xfId="0" applyNumberFormat="1" applyFont="1"/>
    <xf numFmtId="165" fontId="9" fillId="0" borderId="27" xfId="0" applyNumberFormat="1" applyFont="1" applyBorder="1" applyAlignment="1" applyProtection="1">
      <alignment horizontal="center"/>
      <protection hidden="1"/>
    </xf>
    <xf numFmtId="0" fontId="26" fillId="5" borderId="0" xfId="0" applyFont="1" applyFill="1"/>
    <xf numFmtId="167" fontId="24" fillId="0" borderId="0" xfId="0" applyNumberFormat="1" applyFont="1"/>
    <xf numFmtId="167" fontId="21" fillId="0" borderId="0" xfId="0" applyNumberFormat="1" applyFont="1"/>
    <xf numFmtId="0" fontId="8" fillId="0" borderId="0" xfId="0" applyFont="1" applyAlignment="1" applyProtection="1">
      <alignment horizontal="center"/>
      <protection hidden="1"/>
    </xf>
    <xf numFmtId="1" fontId="7" fillId="6" borderId="24" xfId="0" applyNumberFormat="1" applyFont="1" applyFill="1" applyBorder="1" applyAlignment="1" applyProtection="1">
      <alignment horizontal="center" vertical="center"/>
      <protection hidden="1"/>
    </xf>
    <xf numFmtId="1" fontId="7" fillId="6" borderId="25" xfId="0" applyNumberFormat="1" applyFont="1" applyFill="1" applyBorder="1" applyAlignment="1" applyProtection="1">
      <alignment horizontal="center" vertical="center"/>
      <protection hidden="1"/>
    </xf>
    <xf numFmtId="1" fontId="7" fillId="6" borderId="26" xfId="0" applyNumberFormat="1" applyFont="1" applyFill="1" applyBorder="1" applyAlignment="1" applyProtection="1">
      <alignment horizontal="center" vertical="center"/>
      <protection hidden="1"/>
    </xf>
    <xf numFmtId="1" fontId="7" fillId="6" borderId="1" xfId="0" applyNumberFormat="1" applyFont="1" applyFill="1" applyBorder="1" applyAlignment="1" applyProtection="1">
      <alignment horizontal="center" vertical="center"/>
      <protection hidden="1"/>
    </xf>
    <xf numFmtId="1" fontId="7" fillId="6" borderId="2" xfId="0" applyNumberFormat="1" applyFont="1" applyFill="1" applyBorder="1" applyAlignment="1" applyProtection="1">
      <alignment horizontal="center" vertical="center"/>
      <protection hidden="1"/>
    </xf>
    <xf numFmtId="1" fontId="7" fillId="6" borderId="10" xfId="0" applyNumberFormat="1" applyFont="1" applyFill="1" applyBorder="1" applyAlignment="1" applyProtection="1">
      <alignment horizontal="center" vertical="center"/>
      <protection hidden="1"/>
    </xf>
    <xf numFmtId="0" fontId="12" fillId="0" borderId="5" xfId="0" applyFont="1" applyBorder="1" applyAlignment="1" applyProtection="1">
      <alignment horizontal="center"/>
      <protection hidden="1"/>
    </xf>
    <xf numFmtId="0" fontId="12" fillId="0" borderId="9" xfId="0" applyFont="1" applyBorder="1" applyAlignment="1" applyProtection="1">
      <alignment horizontal="center"/>
      <protection hidden="1"/>
    </xf>
    <xf numFmtId="0" fontId="20" fillId="7" borderId="5" xfId="0" applyFont="1" applyFill="1" applyBorder="1" applyAlignment="1" applyProtection="1">
      <alignment horizontal="center"/>
      <protection locked="0"/>
    </xf>
    <xf numFmtId="0" fontId="20" fillId="7" borderId="9" xfId="0" applyFont="1" applyFill="1" applyBorder="1" applyAlignment="1" applyProtection="1">
      <alignment horizontal="center"/>
      <protection locked="0"/>
    </xf>
    <xf numFmtId="0" fontId="20" fillId="7" borderId="3" xfId="0" applyFont="1" applyFill="1" applyBorder="1" applyAlignment="1" applyProtection="1">
      <alignment horizontal="center"/>
      <protection locked="0"/>
    </xf>
    <xf numFmtId="0" fontId="8" fillId="9" borderId="5" xfId="0" applyFont="1" applyFill="1" applyBorder="1" applyAlignment="1" applyProtection="1">
      <alignment horizontal="center" vertical="center"/>
      <protection hidden="1"/>
    </xf>
    <xf numFmtId="0" fontId="8" fillId="9" borderId="9" xfId="0" applyFont="1" applyFill="1" applyBorder="1" applyAlignment="1" applyProtection="1">
      <alignment horizontal="center" vertical="center"/>
      <protection hidden="1"/>
    </xf>
    <xf numFmtId="0" fontId="8" fillId="9" borderId="3" xfId="0" applyFont="1" applyFill="1" applyBorder="1" applyAlignment="1" applyProtection="1">
      <alignment horizontal="center" vertical="center"/>
      <protection hidden="1"/>
    </xf>
    <xf numFmtId="0" fontId="7" fillId="6" borderId="24" xfId="0" applyFont="1" applyFill="1" applyBorder="1" applyAlignment="1" applyProtection="1">
      <alignment horizontal="center" vertical="center"/>
      <protection hidden="1"/>
    </xf>
    <xf numFmtId="0" fontId="7" fillId="6" borderId="26" xfId="0" applyFont="1" applyFill="1" applyBorder="1" applyAlignment="1" applyProtection="1">
      <alignment horizontal="center" vertical="center"/>
      <protection hidden="1"/>
    </xf>
    <xf numFmtId="0" fontId="7" fillId="6" borderId="1" xfId="0" applyFont="1" applyFill="1" applyBorder="1" applyAlignment="1" applyProtection="1">
      <alignment horizontal="center" vertical="center"/>
      <protection hidden="1"/>
    </xf>
    <xf numFmtId="0" fontId="7" fillId="6" borderId="10" xfId="0" applyFont="1" applyFill="1" applyBorder="1" applyAlignment="1" applyProtection="1">
      <alignment horizontal="center" vertical="center"/>
      <protection hidden="1"/>
    </xf>
    <xf numFmtId="0" fontId="4" fillId="3" borderId="24" xfId="0" applyFont="1" applyFill="1" applyBorder="1" applyAlignment="1" applyProtection="1">
      <alignment horizontal="center" vertical="center"/>
      <protection hidden="1"/>
    </xf>
    <xf numFmtId="0" fontId="4" fillId="3" borderId="25" xfId="0" applyFont="1" applyFill="1" applyBorder="1" applyAlignment="1" applyProtection="1">
      <alignment horizontal="center" vertical="center"/>
      <protection hidden="1"/>
    </xf>
    <xf numFmtId="0" fontId="4" fillId="3" borderId="26" xfId="0" applyFont="1" applyFill="1" applyBorder="1" applyAlignment="1" applyProtection="1">
      <alignment horizontal="center" vertical="center"/>
      <protection hidden="1"/>
    </xf>
    <xf numFmtId="0" fontId="4" fillId="3" borderId="1" xfId="0" applyFont="1" applyFill="1" applyBorder="1" applyAlignment="1" applyProtection="1">
      <alignment horizontal="center" vertical="center"/>
      <protection hidden="1"/>
    </xf>
    <xf numFmtId="0" fontId="4" fillId="3" borderId="2" xfId="0" applyFont="1" applyFill="1" applyBorder="1" applyAlignment="1" applyProtection="1">
      <alignment horizontal="center" vertical="center"/>
      <protection hidden="1"/>
    </xf>
    <xf numFmtId="0" fontId="4" fillId="3" borderId="10" xfId="0" applyFont="1" applyFill="1" applyBorder="1" applyAlignment="1" applyProtection="1">
      <alignment horizontal="center" vertical="center"/>
      <protection hidden="1"/>
    </xf>
    <xf numFmtId="0" fontId="12" fillId="0" borderId="0" xfId="0" applyFont="1" applyBorder="1" applyAlignment="1" applyProtection="1">
      <alignment horizontal="left" wrapText="1"/>
    </xf>
    <xf numFmtId="0" fontId="9" fillId="0" borderId="0" xfId="0" applyFont="1" applyAlignment="1">
      <alignment horizontal="justify" wrapText="1"/>
    </xf>
    <xf numFmtId="0" fontId="4" fillId="8" borderId="5" xfId="0" applyFont="1" applyFill="1" applyBorder="1" applyAlignment="1" applyProtection="1">
      <alignment horizontal="center"/>
      <protection hidden="1"/>
    </xf>
    <xf numFmtId="0" fontId="4" fillId="8" borderId="9" xfId="0" applyFont="1" applyFill="1" applyBorder="1" applyAlignment="1" applyProtection="1">
      <alignment horizontal="center"/>
      <protection hidden="1"/>
    </xf>
    <xf numFmtId="0" fontId="4" fillId="8" borderId="3" xfId="0" applyFont="1" applyFill="1" applyBorder="1" applyAlignment="1" applyProtection="1">
      <alignment horizontal="center"/>
      <protection hidden="1"/>
    </xf>
    <xf numFmtId="0" fontId="12" fillId="6" borderId="24" xfId="0" applyFont="1" applyFill="1" applyBorder="1" applyAlignment="1" applyProtection="1">
      <alignment horizontal="center" vertical="center" wrapText="1"/>
      <protection hidden="1"/>
    </xf>
    <xf numFmtId="0" fontId="12" fillId="6" borderId="25" xfId="0" applyFont="1" applyFill="1" applyBorder="1" applyAlignment="1" applyProtection="1">
      <alignment horizontal="center" vertical="center" wrapText="1"/>
      <protection hidden="1"/>
    </xf>
    <xf numFmtId="0" fontId="12" fillId="6" borderId="26" xfId="0" applyFont="1" applyFill="1" applyBorder="1" applyAlignment="1" applyProtection="1">
      <alignment horizontal="center" vertical="center" wrapText="1"/>
      <protection hidden="1"/>
    </xf>
    <xf numFmtId="0" fontId="12" fillId="6" borderId="1" xfId="0" applyFont="1" applyFill="1" applyBorder="1" applyAlignment="1" applyProtection="1">
      <alignment horizontal="center" vertical="center" wrapText="1"/>
      <protection hidden="1"/>
    </xf>
    <xf numFmtId="0" fontId="12" fillId="6" borderId="2" xfId="0" applyFont="1" applyFill="1" applyBorder="1" applyAlignment="1" applyProtection="1">
      <alignment horizontal="center" vertical="center" wrapText="1"/>
      <protection hidden="1"/>
    </xf>
    <xf numFmtId="0" fontId="12" fillId="6" borderId="10" xfId="0" applyFont="1" applyFill="1" applyBorder="1" applyAlignment="1" applyProtection="1">
      <alignment horizontal="center" vertical="center" wrapText="1"/>
      <protection hidden="1"/>
    </xf>
    <xf numFmtId="168" fontId="11" fillId="6" borderId="5" xfId="0" quotePrefix="1" applyNumberFormat="1" applyFont="1" applyFill="1" applyBorder="1" applyAlignment="1" applyProtection="1">
      <alignment horizontal="left"/>
      <protection hidden="1"/>
    </xf>
    <xf numFmtId="168" fontId="11" fillId="6" borderId="9" xfId="0" quotePrefix="1" applyNumberFormat="1" applyFont="1" applyFill="1" applyBorder="1" applyAlignment="1" applyProtection="1">
      <alignment horizontal="left"/>
      <protection hidden="1"/>
    </xf>
  </cellXfs>
  <cellStyles count="3">
    <cellStyle name="Currency" xfId="1" builtinId="4"/>
    <cellStyle name="Hyperlink" xfId="2" builtinId="8"/>
    <cellStyle name="Normal" xfId="0" builtinId="0"/>
  </cellStyles>
  <dxfs count="5">
    <dxf>
      <font>
        <strike val="0"/>
        <outline val="0"/>
        <shadow val="0"/>
        <u val="none"/>
        <vertAlign val="baseline"/>
        <sz val="10"/>
        <color rgb="FF00B050"/>
        <name val="Arial"/>
        <scheme val="none"/>
      </font>
      <numFmt numFmtId="167" formatCode="&quot;$&quot;#,##0.00"/>
    </dxf>
    <dxf>
      <font>
        <strike val="0"/>
        <outline val="0"/>
        <shadow val="0"/>
        <u val="none"/>
        <vertAlign val="baseline"/>
        <sz val="10"/>
        <color rgb="FF00B050"/>
        <name val="Arial"/>
        <scheme val="none"/>
      </font>
      <numFmt numFmtId="164" formatCode="&quot;$&quot;#,##0.00;[Red]\-&quot;$&quot;#,##0.00"/>
    </dxf>
    <dxf>
      <font>
        <strike val="0"/>
        <outline val="0"/>
        <shadow val="0"/>
        <u val="none"/>
        <vertAlign val="baseline"/>
        <sz val="10"/>
        <color rgb="FF00B050"/>
        <name val="Arial"/>
        <scheme val="none"/>
      </font>
    </dxf>
    <dxf>
      <font>
        <strike val="0"/>
        <outline val="0"/>
        <shadow val="0"/>
        <u val="none"/>
        <vertAlign val="baseline"/>
        <sz val="10"/>
        <color rgb="FF00B050"/>
        <name val="Arial"/>
        <scheme val="none"/>
      </font>
    </dxf>
    <dxf>
      <font>
        <color theme="0"/>
      </font>
      <fill>
        <patternFill>
          <bgColor theme="0"/>
        </patternFill>
      </fill>
      <border>
        <left/>
        <right/>
        <top/>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max" displayName="tablemax" ref="J5:L39" totalsRowShown="0" dataDxfId="3">
  <autoFilter ref="J5:L39"/>
  <tableColumns count="3">
    <tableColumn id="1" name="Année" dataDxfId="2"/>
    <tableColumn id="2" name="Plafond des PD" dataDxfId="1"/>
    <tableColumn id="3" name="Salaire max" dataDxfId="0">
      <calculatedColumnFormula>+tablemax[[#This Row],[Plafond des PD]]/0.015</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https://www.canada.ca/en/revenue-agency/services/tax/registered-plans-administrators/pspa/mp-rrsp-dpsp-tfsa-limits-ymp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130"/>
  <sheetViews>
    <sheetView showGridLines="0" tabSelected="1" workbookViewId="0">
      <selection sqref="A1:E1"/>
    </sheetView>
  </sheetViews>
  <sheetFormatPr defaultColWidth="0" defaultRowHeight="12.75" zeroHeight="1" x14ac:dyDescent="0.2"/>
  <cols>
    <col min="1" max="2" width="30.7109375" customWidth="1"/>
    <col min="3" max="4" width="27" customWidth="1"/>
    <col min="5" max="5" width="25.42578125" customWidth="1"/>
    <col min="6" max="6" width="9.28515625" customWidth="1"/>
    <col min="7" max="7" width="21.140625" hidden="1" customWidth="1"/>
    <col min="8" max="16384" width="11.42578125" hidden="1"/>
  </cols>
  <sheetData>
    <row r="1" spans="1:16" ht="20.25" x14ac:dyDescent="0.3">
      <c r="A1" s="121" t="s">
        <v>32</v>
      </c>
      <c r="B1" s="121"/>
      <c r="C1" s="121"/>
      <c r="D1" s="121"/>
      <c r="E1" s="121"/>
      <c r="O1" s="31"/>
    </row>
    <row r="2" spans="1:16" ht="20.25" x14ac:dyDescent="0.3">
      <c r="A2" s="121" t="s">
        <v>62</v>
      </c>
      <c r="B2" s="121"/>
      <c r="C2" s="121"/>
      <c r="D2" s="121"/>
      <c r="E2" s="121"/>
      <c r="O2" s="31"/>
    </row>
    <row r="3" spans="1:16" ht="13.5" thickBot="1" x14ac:dyDescent="0.25">
      <c r="O3" s="31"/>
    </row>
    <row r="4" spans="1:16" ht="18.75" thickBot="1" x14ac:dyDescent="0.3">
      <c r="A4" s="16" t="s">
        <v>14</v>
      </c>
      <c r="B4" s="130"/>
      <c r="C4" s="131"/>
      <c r="D4" s="132"/>
      <c r="E4" s="6"/>
      <c r="O4" s="31"/>
    </row>
    <row r="5" spans="1:16" x14ac:dyDescent="0.2">
      <c r="M5" s="31">
        <v>0</v>
      </c>
      <c r="O5">
        <v>1</v>
      </c>
      <c r="P5" s="114" t="s">
        <v>45</v>
      </c>
    </row>
    <row r="6" spans="1:16" ht="15" thickBot="1" x14ac:dyDescent="0.25">
      <c r="A6" s="8"/>
      <c r="B6" s="8"/>
      <c r="C6" s="8"/>
      <c r="D6" s="8"/>
      <c r="E6" s="8"/>
      <c r="F6" s="8"/>
      <c r="G6" s="8"/>
      <c r="H6" s="8"/>
      <c r="I6" s="8"/>
      <c r="M6" s="31">
        <f>+M5+0.25%</f>
        <v>2.5000000000000001E-3</v>
      </c>
      <c r="O6">
        <f>+O5+1</f>
        <v>2</v>
      </c>
      <c r="P6" s="114" t="s">
        <v>46</v>
      </c>
    </row>
    <row r="7" spans="1:16" ht="15.75" thickBot="1" x14ac:dyDescent="0.3">
      <c r="A7" s="104" t="s">
        <v>13</v>
      </c>
      <c r="B7" s="105" t="s">
        <v>2</v>
      </c>
      <c r="C7" s="8"/>
      <c r="D7" s="8"/>
      <c r="E7" s="8"/>
      <c r="F7" s="8"/>
      <c r="G7" s="8"/>
      <c r="H7" s="8"/>
      <c r="I7" s="8"/>
      <c r="M7" s="31">
        <f t="shared" ref="M7:M8" si="0">+M6+0.25%</f>
        <v>5.0000000000000001E-3</v>
      </c>
      <c r="O7">
        <f t="shared" ref="O7:O17" si="1">+O6+1</f>
        <v>3</v>
      </c>
      <c r="P7" s="114" t="s">
        <v>47</v>
      </c>
    </row>
    <row r="8" spans="1:16" ht="15.75" thickBot="1" x14ac:dyDescent="0.25">
      <c r="A8" s="25"/>
      <c r="B8" s="106">
        <f>+DATE(Calculatrice!A4,1,1)</f>
        <v>43831</v>
      </c>
      <c r="C8" s="8"/>
      <c r="D8" s="8"/>
      <c r="E8" s="8"/>
      <c r="F8" s="8"/>
      <c r="G8" s="8"/>
      <c r="H8" s="8"/>
      <c r="I8" s="8"/>
      <c r="M8" s="31">
        <f t="shared" si="0"/>
        <v>7.4999999999999997E-3</v>
      </c>
      <c r="O8">
        <f t="shared" si="1"/>
        <v>4</v>
      </c>
      <c r="P8" s="114" t="s">
        <v>48</v>
      </c>
    </row>
    <row r="9" spans="1:16" ht="15.75" thickBot="1" x14ac:dyDescent="0.25">
      <c r="A9" s="25"/>
      <c r="B9" s="117">
        <f>+DATE(Calculatrice!A5,1,1)</f>
        <v>44197</v>
      </c>
      <c r="C9" s="8"/>
      <c r="D9" s="8"/>
      <c r="E9" s="8"/>
      <c r="F9" s="8"/>
      <c r="G9" s="8"/>
      <c r="H9" s="8"/>
      <c r="I9" s="8"/>
      <c r="M9" s="31">
        <f t="shared" ref="M9:M21" si="2">+M8+0.25%</f>
        <v>0.01</v>
      </c>
      <c r="P9" s="114"/>
    </row>
    <row r="10" spans="1:16" ht="15.75" thickBot="1" x14ac:dyDescent="0.25">
      <c r="A10" s="25"/>
      <c r="B10" s="107">
        <f>+DATE(Calculatrice!A6,1,1)</f>
        <v>44562</v>
      </c>
      <c r="C10" s="11"/>
      <c r="D10" s="11"/>
      <c r="E10" s="11"/>
      <c r="F10" s="11"/>
      <c r="G10" s="8"/>
      <c r="H10" s="8"/>
      <c r="I10" s="8"/>
      <c r="M10" s="31">
        <f t="shared" si="2"/>
        <v>1.2500000000000001E-2</v>
      </c>
      <c r="O10">
        <f>+O8+1</f>
        <v>5</v>
      </c>
      <c r="P10" s="114" t="s">
        <v>49</v>
      </c>
    </row>
    <row r="11" spans="1:16" ht="15.75" thickBot="1" x14ac:dyDescent="0.25">
      <c r="A11" s="25"/>
      <c r="B11" s="108">
        <f>+DATE(Calculatrice!A7,1,1)</f>
        <v>44927</v>
      </c>
      <c r="C11" s="11"/>
      <c r="D11" s="11"/>
      <c r="E11" s="11"/>
      <c r="F11" s="11"/>
      <c r="G11" s="8"/>
      <c r="H11" s="8"/>
      <c r="I11" s="8"/>
      <c r="M11" s="31">
        <f t="shared" si="2"/>
        <v>1.5000000000000001E-2</v>
      </c>
      <c r="O11">
        <f t="shared" si="1"/>
        <v>6</v>
      </c>
      <c r="P11" s="114" t="s">
        <v>50</v>
      </c>
    </row>
    <row r="12" spans="1:16" ht="14.25" x14ac:dyDescent="0.2">
      <c r="A12" s="9"/>
      <c r="B12" s="10"/>
      <c r="C12" s="11"/>
      <c r="D12" s="11"/>
      <c r="E12" s="11"/>
      <c r="F12" s="11"/>
      <c r="G12" s="8"/>
      <c r="H12" s="8"/>
      <c r="I12" s="8"/>
      <c r="M12" s="31">
        <f t="shared" si="2"/>
        <v>1.7500000000000002E-2</v>
      </c>
      <c r="O12">
        <f t="shared" si="1"/>
        <v>7</v>
      </c>
      <c r="P12" s="114" t="s">
        <v>51</v>
      </c>
    </row>
    <row r="13" spans="1:16" ht="15" thickBot="1" x14ac:dyDescent="0.25">
      <c r="A13" s="9"/>
      <c r="B13" s="10"/>
      <c r="C13" s="11"/>
      <c r="D13" s="11"/>
      <c r="E13" s="11"/>
      <c r="F13" s="11"/>
      <c r="G13" s="8"/>
      <c r="H13" s="8"/>
      <c r="I13" s="8"/>
      <c r="M13" s="31">
        <f t="shared" si="2"/>
        <v>0.02</v>
      </c>
      <c r="O13">
        <f t="shared" si="1"/>
        <v>8</v>
      </c>
      <c r="P13" s="114" t="s">
        <v>52</v>
      </c>
    </row>
    <row r="14" spans="1:16" ht="15" thickBot="1" x14ac:dyDescent="0.25">
      <c r="A14" s="128" t="s">
        <v>24</v>
      </c>
      <c r="B14" s="129"/>
      <c r="C14" s="17">
        <v>0</v>
      </c>
      <c r="D14" s="11"/>
      <c r="E14" s="11"/>
      <c r="F14" s="11"/>
      <c r="G14" s="8"/>
      <c r="H14" s="8"/>
      <c r="I14" s="8"/>
      <c r="M14" s="31">
        <f t="shared" si="2"/>
        <v>2.2499999999999999E-2</v>
      </c>
      <c r="O14">
        <f t="shared" si="1"/>
        <v>9</v>
      </c>
      <c r="P14" s="114" t="s">
        <v>53</v>
      </c>
    </row>
    <row r="15" spans="1:16" ht="27.75" customHeight="1" x14ac:dyDescent="0.2">
      <c r="A15" s="146" t="s">
        <v>59</v>
      </c>
      <c r="B15" s="146"/>
      <c r="C15" s="146"/>
      <c r="D15" s="146"/>
      <c r="E15" s="146"/>
      <c r="F15" s="146"/>
      <c r="G15" s="146"/>
      <c r="H15" s="8"/>
      <c r="I15" s="8"/>
      <c r="M15" s="31">
        <f t="shared" si="2"/>
        <v>2.4999999999999998E-2</v>
      </c>
      <c r="O15">
        <f t="shared" si="1"/>
        <v>10</v>
      </c>
      <c r="P15" s="114" t="s">
        <v>54</v>
      </c>
    </row>
    <row r="16" spans="1:16" ht="15" thickBot="1" x14ac:dyDescent="0.25">
      <c r="F16" s="11"/>
      <c r="G16" s="8"/>
      <c r="H16" s="8"/>
      <c r="I16" s="8"/>
      <c r="M16" s="31">
        <f t="shared" si="2"/>
        <v>2.7499999999999997E-2</v>
      </c>
      <c r="O16">
        <f t="shared" si="1"/>
        <v>11</v>
      </c>
      <c r="P16" s="114" t="s">
        <v>55</v>
      </c>
    </row>
    <row r="17" spans="1:16" ht="15" customHeight="1" x14ac:dyDescent="0.2">
      <c r="A17" s="140" t="str">
        <f>"Nombre d'années de service créditées selon l'information du dernier relevé de l'Assomption Vie  ("&amp;Calculatrice!A6&amp;")"</f>
        <v>Nombre d'années de service créditées selon l'information du dernier relevé de l'Assomption Vie  (2022)</v>
      </c>
      <c r="B17" s="141"/>
      <c r="C17" s="141"/>
      <c r="D17" s="141"/>
      <c r="E17" s="142"/>
      <c r="F17" s="34"/>
      <c r="G17" s="34"/>
      <c r="H17" s="8"/>
      <c r="I17" s="8"/>
      <c r="M17" s="31">
        <f t="shared" si="2"/>
        <v>2.9999999999999995E-2</v>
      </c>
      <c r="O17">
        <f t="shared" si="1"/>
        <v>12</v>
      </c>
      <c r="P17" s="114" t="s">
        <v>56</v>
      </c>
    </row>
    <row r="18" spans="1:16" ht="15" customHeight="1" thickBot="1" x14ac:dyDescent="0.25">
      <c r="A18" s="143"/>
      <c r="B18" s="144"/>
      <c r="C18" s="144"/>
      <c r="D18" s="144"/>
      <c r="E18" s="145"/>
      <c r="F18" s="34"/>
      <c r="G18" s="34"/>
      <c r="H18" s="8"/>
      <c r="I18" s="8"/>
      <c r="M18" s="31">
        <f t="shared" si="2"/>
        <v>3.2499999999999994E-2</v>
      </c>
    </row>
    <row r="19" spans="1:16" ht="30.75" thickBot="1" x14ac:dyDescent="0.3">
      <c r="A19" s="109" t="s">
        <v>41</v>
      </c>
      <c r="B19" s="109" t="s">
        <v>40</v>
      </c>
      <c r="C19" s="110" t="s">
        <v>57</v>
      </c>
      <c r="D19" s="110" t="s">
        <v>58</v>
      </c>
      <c r="E19" s="111" t="s">
        <v>39</v>
      </c>
      <c r="F19" s="11"/>
      <c r="G19" s="8"/>
      <c r="H19" s="8"/>
      <c r="I19" s="8"/>
      <c r="M19" s="31">
        <f t="shared" si="2"/>
        <v>3.4999999999999996E-2</v>
      </c>
    </row>
    <row r="20" spans="1:16" ht="15.75" thickBot="1" x14ac:dyDescent="0.25">
      <c r="A20" s="35"/>
      <c r="B20" s="35"/>
      <c r="C20" s="35"/>
      <c r="D20" s="35"/>
      <c r="E20" s="35"/>
      <c r="F20" s="30"/>
      <c r="G20" s="8"/>
      <c r="H20" s="8"/>
      <c r="I20" s="8"/>
      <c r="M20" s="31">
        <f t="shared" si="2"/>
        <v>3.7499999999999999E-2</v>
      </c>
    </row>
    <row r="21" spans="1:16" ht="15" thickBot="1" x14ac:dyDescent="0.25">
      <c r="A21" s="45"/>
      <c r="B21" s="46"/>
      <c r="C21" s="47" t="s">
        <v>1</v>
      </c>
      <c r="D21" s="47" t="s">
        <v>0</v>
      </c>
      <c r="E21" s="46" t="s">
        <v>12</v>
      </c>
      <c r="G21" s="33"/>
      <c r="H21" s="8"/>
      <c r="I21" s="8"/>
      <c r="M21" s="31">
        <f t="shared" si="2"/>
        <v>0.04</v>
      </c>
    </row>
    <row r="22" spans="1:16" ht="16.5" thickBot="1" x14ac:dyDescent="0.3">
      <c r="A22" s="53" t="s">
        <v>61</v>
      </c>
      <c r="B22" s="54"/>
      <c r="C22" s="26"/>
      <c r="D22" s="26"/>
      <c r="E22" s="48">
        <v>1</v>
      </c>
      <c r="F22" s="11"/>
      <c r="G22" s="8"/>
      <c r="H22" s="8"/>
      <c r="I22" s="8"/>
    </row>
    <row r="23" spans="1:16" ht="16.5" thickBot="1" x14ac:dyDescent="0.3">
      <c r="A23" s="55" t="s">
        <v>15</v>
      </c>
      <c r="B23" s="56"/>
      <c r="C23" s="27"/>
      <c r="D23" s="29"/>
      <c r="E23" s="44"/>
      <c r="F23" s="11"/>
      <c r="G23" s="8"/>
      <c r="H23" s="8"/>
      <c r="I23" s="8"/>
    </row>
    <row r="24" spans="1:16" ht="18" thickBot="1" x14ac:dyDescent="0.3">
      <c r="A24" s="49" t="s">
        <v>60</v>
      </c>
      <c r="B24" s="46"/>
      <c r="C24" s="50">
        <f>IF(AND(D23=12,E23&gt;1),C23+66,C23+65)</f>
        <v>65</v>
      </c>
      <c r="D24" s="51">
        <f>IF(AND(E23=1,D23=12),D23,IF(D23=12,1,IF(E23=1,D23,D23+1)))</f>
        <v>1</v>
      </c>
      <c r="E24" s="52"/>
      <c r="F24" s="11"/>
      <c r="G24" s="8"/>
      <c r="H24" s="8"/>
      <c r="I24" s="8"/>
    </row>
    <row r="25" spans="1:16" ht="15" thickBot="1" x14ac:dyDescent="0.25">
      <c r="D25" s="24"/>
      <c r="F25" s="8"/>
      <c r="G25" s="8"/>
      <c r="H25" s="8"/>
      <c r="I25" s="8"/>
    </row>
    <row r="26" spans="1:16" ht="16.5" thickBot="1" x14ac:dyDescent="0.3">
      <c r="A26" s="57" t="s">
        <v>16</v>
      </c>
      <c r="B26" s="28"/>
      <c r="C26" s="28"/>
      <c r="E26" s="8"/>
      <c r="F26" s="40"/>
      <c r="G26" s="8"/>
      <c r="H26" s="8"/>
      <c r="I26" s="8"/>
    </row>
    <row r="27" spans="1:16" ht="14.25" x14ac:dyDescent="0.2">
      <c r="A27" s="8"/>
      <c r="B27" s="58" t="s">
        <v>19</v>
      </c>
      <c r="C27" s="59" t="s">
        <v>20</v>
      </c>
      <c r="D27" s="13"/>
      <c r="E27" s="8"/>
      <c r="F27" s="40"/>
      <c r="G27" s="8"/>
      <c r="H27" s="8"/>
      <c r="I27" s="8"/>
    </row>
    <row r="28" spans="1:16" ht="15.75" thickBot="1" x14ac:dyDescent="0.3">
      <c r="A28" s="12"/>
      <c r="B28" s="8"/>
      <c r="C28" s="13"/>
      <c r="D28" s="13"/>
      <c r="E28" s="8"/>
      <c r="F28" s="8"/>
      <c r="G28" s="8"/>
      <c r="H28" s="8"/>
      <c r="I28" s="8"/>
    </row>
    <row r="29" spans="1:16" ht="14.25" hidden="1" x14ac:dyDescent="0.2">
      <c r="A29" s="18"/>
      <c r="B29" s="18"/>
      <c r="C29" s="19"/>
      <c r="D29" s="21" t="s">
        <v>11</v>
      </c>
      <c r="E29" s="18"/>
      <c r="F29" s="40"/>
      <c r="G29" s="39"/>
      <c r="H29" s="39"/>
      <c r="I29" s="39"/>
    </row>
    <row r="30" spans="1:16" ht="14.25" hidden="1" x14ac:dyDescent="0.2">
      <c r="A30" s="18" t="s">
        <v>7</v>
      </c>
      <c r="B30" s="18"/>
      <c r="C30" s="42" t="e">
        <f>IF(C26=1,AVERAGEIFS(Calculatrice!$B$4:$B$55,Calculatrice!$A$4:$A$55,"&gt;="&amp;(B26-3),Calculatrice!$A$4:$A$55,"&lt;="&amp;(B26-1)),AVERAGE(VLOOKUP(B26-3,Calculatrice!$A$4:$B$55,2,0)*(13-C26)/12+VLOOKUP(B26,Calculatrice!$A$4:$B$55,2,0)*(C26-1)/12,VLOOKUP(B26-2,Calculatrice!$A$4:$B$55,2,0),VLOOKUP(B26-1,Calculatrice!$A$4:$B$55,2,0)))</f>
        <v>#N/A</v>
      </c>
      <c r="D30" s="41" t="e">
        <f>MIN($C$30,VLOOKUP(B26-IF(B26&gt;C22,1,0)-IF(C26=1,1,0),Calculatrice!A4:H55,8,0))</f>
        <v>#N/A</v>
      </c>
      <c r="E30" s="18"/>
      <c r="F30" s="8"/>
      <c r="G30" s="39"/>
      <c r="H30" s="39"/>
      <c r="I30" s="39"/>
    </row>
    <row r="31" spans="1:16" ht="14.25" hidden="1" x14ac:dyDescent="0.2">
      <c r="A31" s="18"/>
      <c r="B31" s="18"/>
      <c r="C31" s="19"/>
      <c r="D31" s="20"/>
      <c r="E31" s="18"/>
      <c r="F31" s="8"/>
      <c r="G31" s="39"/>
      <c r="H31" s="39"/>
      <c r="I31" s="39"/>
    </row>
    <row r="32" spans="1:16" ht="14.25" hidden="1" x14ac:dyDescent="0.2">
      <c r="A32" s="18" t="s">
        <v>9</v>
      </c>
      <c r="B32" s="18"/>
      <c r="C32" s="23" t="e">
        <f>((MIN(D30,86111)*(A20+B20+D20)+MIN(D30,57500)*C20)*2%)*(1-D37*0.3%)</f>
        <v>#N/A</v>
      </c>
      <c r="D32" s="22" t="e">
        <f>((MIN(D30,86111)*(A20+B20+D20)+MIN(D30,57500)*C20)*2%)</f>
        <v>#N/A</v>
      </c>
      <c r="E32" s="18"/>
      <c r="F32" s="8"/>
      <c r="G32" s="39"/>
      <c r="H32" s="39"/>
      <c r="I32" s="39"/>
    </row>
    <row r="33" spans="1:9" ht="14.25" hidden="1" x14ac:dyDescent="0.2">
      <c r="A33" s="18" t="s">
        <v>10</v>
      </c>
      <c r="B33" s="18"/>
      <c r="C33" s="23" t="e">
        <f>(D30*(ROUND((DATE(B26,C26,1)-B11)/365.25,2)+E20)*1.5%)*(1-E37*0.3%)</f>
        <v>#N/A</v>
      </c>
      <c r="D33" s="22" t="e">
        <f>(D30*(ROUND(YEARFRAC(DATE(B26,C26,1),B11,0),4)+E20)*1.5%)</f>
        <v>#N/A</v>
      </c>
      <c r="E33" s="18"/>
      <c r="F33" s="8"/>
      <c r="G33" s="39"/>
      <c r="H33" s="39"/>
      <c r="I33" s="39"/>
    </row>
    <row r="34" spans="1:9" ht="15" hidden="1" thickBot="1" x14ac:dyDescent="0.25">
      <c r="A34" s="18"/>
      <c r="B34" s="18"/>
      <c r="C34" s="18"/>
      <c r="D34" s="18"/>
      <c r="E34" s="18"/>
      <c r="F34" s="8"/>
      <c r="G34" s="8"/>
      <c r="H34" s="14"/>
      <c r="I34" s="14"/>
    </row>
    <row r="35" spans="1:9" ht="21" thickBot="1" x14ac:dyDescent="0.25">
      <c r="A35" s="133">
        <f>+B4</f>
        <v>0</v>
      </c>
      <c r="B35" s="134"/>
      <c r="C35" s="134"/>
      <c r="D35" s="134"/>
      <c r="E35" s="135"/>
      <c r="F35" s="8"/>
      <c r="G35" s="8"/>
      <c r="H35" s="14"/>
      <c r="I35" s="14"/>
    </row>
    <row r="36" spans="1:9" ht="18" customHeight="1" thickBot="1" x14ac:dyDescent="0.25">
      <c r="A36" s="151" t="s">
        <v>27</v>
      </c>
      <c r="B36" s="152"/>
      <c r="C36" s="153"/>
      <c r="D36" s="60" t="s">
        <v>17</v>
      </c>
      <c r="E36" s="61" t="s">
        <v>18</v>
      </c>
      <c r="F36" s="8"/>
      <c r="G36" s="8"/>
      <c r="H36" s="14"/>
      <c r="I36" s="14"/>
    </row>
    <row r="37" spans="1:9" ht="15" thickBot="1" x14ac:dyDescent="0.25">
      <c r="A37" s="154"/>
      <c r="B37" s="155"/>
      <c r="C37" s="156"/>
      <c r="D37" s="62" t="e">
        <f>MAX(0,IF(MAX(ROUND((DATE(C22,D22,1)-DATE(B26,C26,1))/365.25*12,0),0)&gt;120,"Vous pouvez seulement vous retirer 10 ans avant votre date normale de retraite.",ROUND((DATE(C22,D22,1)-DATE(B26,C26,1))/365.25*12,0)))</f>
        <v>#NUM!</v>
      </c>
      <c r="E37" s="63" t="e">
        <f>MAX(0,IF(MAX(ROUND((DATE(C24,D24,1)-DATE(B26,C26,1))/365.25*12,0),0)&gt;120,"Vous pouvez seulement vous retirer 10 ans avant votre date normale de retraite.",ROUND((DATE(C24,D24,1)-DATE(B26,C26,1))/365.25*12,0)))</f>
        <v>#NUM!</v>
      </c>
      <c r="F37" s="8"/>
      <c r="G37" s="8"/>
      <c r="H37" s="14"/>
      <c r="I37" s="14"/>
    </row>
    <row r="38" spans="1:9" ht="21" thickBot="1" x14ac:dyDescent="0.35">
      <c r="A38" s="64"/>
      <c r="B38" s="65"/>
      <c r="C38" s="65"/>
      <c r="D38" s="65"/>
      <c r="E38" s="65"/>
      <c r="F38" s="8"/>
      <c r="G38" s="8"/>
      <c r="H38" s="14"/>
      <c r="I38" s="14"/>
    </row>
    <row r="39" spans="1:9" ht="14.25" customHeight="1" x14ac:dyDescent="0.2">
      <c r="A39" s="136" t="s">
        <v>33</v>
      </c>
      <c r="B39" s="137"/>
      <c r="C39" s="122" t="e">
        <f>+D66</f>
        <v>#N/A</v>
      </c>
      <c r="D39" s="123"/>
      <c r="E39" s="124"/>
      <c r="F39" s="8"/>
      <c r="G39" s="8"/>
      <c r="H39" s="14"/>
      <c r="I39" s="14"/>
    </row>
    <row r="40" spans="1:9" ht="15" customHeight="1" thickBot="1" x14ac:dyDescent="0.25">
      <c r="A40" s="138"/>
      <c r="B40" s="139"/>
      <c r="C40" s="125"/>
      <c r="D40" s="126"/>
      <c r="E40" s="127"/>
      <c r="F40" s="8"/>
      <c r="G40" s="8"/>
      <c r="H40" s="8"/>
      <c r="I40" s="8"/>
    </row>
    <row r="41" spans="1:9" ht="24.75" customHeight="1" thickBot="1" x14ac:dyDescent="0.3">
      <c r="A41" s="148" t="s">
        <v>21</v>
      </c>
      <c r="B41" s="149"/>
      <c r="C41" s="149"/>
      <c r="D41" s="149"/>
      <c r="E41" s="150"/>
      <c r="F41" s="8"/>
      <c r="G41" s="8"/>
      <c r="H41" s="8"/>
      <c r="I41" s="8"/>
    </row>
    <row r="42" spans="1:9" ht="15" x14ac:dyDescent="0.25">
      <c r="A42" s="66"/>
      <c r="B42" s="67"/>
      <c r="C42" s="67"/>
      <c r="D42" s="68"/>
      <c r="E42" s="69"/>
      <c r="F42" s="8"/>
      <c r="G42" s="8"/>
      <c r="H42" s="8"/>
      <c r="I42" s="8"/>
    </row>
    <row r="43" spans="1:9" ht="15" x14ac:dyDescent="0.25">
      <c r="A43" s="70" t="e">
        <f>"Prestation annuelle le "&amp;D66&amp;" avant réduction"</f>
        <v>#N/A</v>
      </c>
      <c r="B43" s="71"/>
      <c r="C43" s="72"/>
      <c r="D43" s="73" t="e">
        <f>D32</f>
        <v>#N/A</v>
      </c>
      <c r="E43" s="69"/>
      <c r="F43" s="8"/>
      <c r="G43" s="8"/>
      <c r="H43" s="8"/>
      <c r="I43" s="8"/>
    </row>
    <row r="44" spans="1:9" ht="14.25" x14ac:dyDescent="0.2">
      <c r="A44" s="74" t="s">
        <v>30</v>
      </c>
      <c r="B44" s="67"/>
      <c r="C44" s="67"/>
      <c r="D44" s="75" t="e">
        <f>D37*0.3%</f>
        <v>#NUM!</v>
      </c>
      <c r="E44" s="69"/>
      <c r="F44" s="8"/>
      <c r="G44" s="8"/>
      <c r="H44" s="8"/>
      <c r="I44" s="8"/>
    </row>
    <row r="45" spans="1:9" ht="15" x14ac:dyDescent="0.25">
      <c r="A45" s="70" t="s">
        <v>31</v>
      </c>
      <c r="B45" s="67"/>
      <c r="C45" s="67"/>
      <c r="D45" s="76" t="e">
        <f>D43*D44</f>
        <v>#N/A</v>
      </c>
      <c r="E45" s="69"/>
      <c r="F45" s="8"/>
      <c r="G45" s="8"/>
      <c r="H45" s="8"/>
      <c r="I45" s="8"/>
    </row>
    <row r="46" spans="1:9" ht="14.25" x14ac:dyDescent="0.2">
      <c r="A46" s="74"/>
      <c r="B46" s="67"/>
      <c r="C46" s="67"/>
      <c r="D46" s="68"/>
      <c r="E46" s="77"/>
      <c r="F46" s="8"/>
      <c r="G46" s="8"/>
      <c r="H46" s="8"/>
      <c r="I46" s="8"/>
    </row>
    <row r="47" spans="1:9" ht="14.25" x14ac:dyDescent="0.2">
      <c r="A47" s="78" t="s">
        <v>25</v>
      </c>
      <c r="B47" s="71"/>
      <c r="C47" s="71"/>
      <c r="D47" s="79">
        <f>A20+B20+D20+C20</f>
        <v>0</v>
      </c>
      <c r="E47" s="77"/>
      <c r="F47" s="8"/>
      <c r="G47" s="8"/>
      <c r="H47" s="8"/>
      <c r="I47" s="8"/>
    </row>
    <row r="48" spans="1:9" ht="15.75" thickBot="1" x14ac:dyDescent="0.3">
      <c r="A48" s="80" t="s">
        <v>23</v>
      </c>
      <c r="B48" s="81"/>
      <c r="C48" s="81"/>
      <c r="D48" s="82" t="e">
        <f>MIN(D30,86111)</f>
        <v>#N/A</v>
      </c>
      <c r="E48" s="83"/>
      <c r="F48" s="8"/>
      <c r="G48" s="8"/>
      <c r="H48" s="8"/>
      <c r="I48" s="8"/>
    </row>
    <row r="49" spans="1:9" ht="14.25" hidden="1" x14ac:dyDescent="0.2">
      <c r="A49" s="74"/>
      <c r="B49" s="67"/>
      <c r="C49" s="67"/>
      <c r="D49" s="67"/>
      <c r="E49" s="69"/>
      <c r="F49" s="8"/>
      <c r="G49" s="8"/>
      <c r="H49" s="8"/>
      <c r="I49" s="8"/>
    </row>
    <row r="50" spans="1:9" ht="15" hidden="1" x14ac:dyDescent="0.25">
      <c r="A50" s="70"/>
      <c r="B50" s="71"/>
      <c r="C50" s="72"/>
      <c r="D50" s="84"/>
      <c r="E50" s="69"/>
      <c r="F50" s="8"/>
      <c r="G50" s="8"/>
      <c r="H50" s="8"/>
      <c r="I50" s="8"/>
    </row>
    <row r="51" spans="1:9" ht="15.75" hidden="1" thickBot="1" x14ac:dyDescent="0.3">
      <c r="A51" s="70"/>
      <c r="B51" s="71"/>
      <c r="C51" s="71"/>
      <c r="D51" s="85"/>
      <c r="E51" s="69"/>
      <c r="F51" s="8"/>
      <c r="G51" s="8"/>
      <c r="H51" s="8"/>
      <c r="I51" s="8"/>
    </row>
    <row r="52" spans="1:9" ht="24" customHeight="1" thickBot="1" x14ac:dyDescent="0.3">
      <c r="A52" s="86" t="s">
        <v>34</v>
      </c>
      <c r="B52" s="87"/>
      <c r="C52" s="87"/>
      <c r="D52" s="88"/>
      <c r="E52" s="89" t="e">
        <f>+D43-D45</f>
        <v>#N/A</v>
      </c>
      <c r="F52" s="8"/>
      <c r="G52" s="8"/>
      <c r="H52" s="8"/>
      <c r="I52" s="8"/>
    </row>
    <row r="53" spans="1:9" ht="15.75" thickBot="1" x14ac:dyDescent="0.3">
      <c r="A53" s="90"/>
      <c r="B53" s="91"/>
      <c r="C53" s="91"/>
      <c r="D53" s="92"/>
      <c r="E53" s="93"/>
      <c r="F53" s="8"/>
      <c r="G53" s="8"/>
      <c r="H53" s="8"/>
      <c r="I53" s="8"/>
    </row>
    <row r="54" spans="1:9" ht="21.75" customHeight="1" thickBot="1" x14ac:dyDescent="0.3">
      <c r="A54" s="148" t="s">
        <v>22</v>
      </c>
      <c r="B54" s="149"/>
      <c r="C54" s="149"/>
      <c r="D54" s="149"/>
      <c r="E54" s="150"/>
      <c r="F54" s="8"/>
      <c r="G54" s="8"/>
      <c r="H54" s="8"/>
      <c r="I54" s="8"/>
    </row>
    <row r="55" spans="1:9" ht="14.25" x14ac:dyDescent="0.2">
      <c r="A55" s="74"/>
      <c r="B55" s="67"/>
      <c r="C55" s="67"/>
      <c r="D55" s="68"/>
      <c r="E55" s="94"/>
      <c r="F55" s="8"/>
      <c r="G55" s="8"/>
      <c r="H55" s="8"/>
      <c r="I55" s="8"/>
    </row>
    <row r="56" spans="1:9" ht="15" x14ac:dyDescent="0.25">
      <c r="A56" s="66" t="e">
        <f>"Prestation annuelle le "&amp;D66&amp;" avant réduction"</f>
        <v>#N/A</v>
      </c>
      <c r="B56" s="71"/>
      <c r="C56" s="71"/>
      <c r="D56" s="73" t="e">
        <f>D33</f>
        <v>#N/A</v>
      </c>
      <c r="E56" s="69"/>
      <c r="F56" s="8"/>
      <c r="G56" s="8"/>
      <c r="H56" s="8"/>
      <c r="I56" s="8"/>
    </row>
    <row r="57" spans="1:9" ht="14.25" x14ac:dyDescent="0.2">
      <c r="A57" s="74" t="s">
        <v>30</v>
      </c>
      <c r="B57" s="71"/>
      <c r="C57" s="72"/>
      <c r="D57" s="75" t="e">
        <f>E37*0.3%</f>
        <v>#NUM!</v>
      </c>
      <c r="E57" s="69"/>
      <c r="F57" s="8"/>
      <c r="G57" s="8"/>
      <c r="H57" s="8"/>
      <c r="I57" s="8"/>
    </row>
    <row r="58" spans="1:9" ht="15" x14ac:dyDescent="0.25">
      <c r="A58" s="70" t="s">
        <v>31</v>
      </c>
      <c r="B58" s="71"/>
      <c r="C58" s="72"/>
      <c r="D58" s="76" t="e">
        <f>D56*D57</f>
        <v>#N/A</v>
      </c>
      <c r="E58" s="69"/>
      <c r="F58" s="8"/>
      <c r="G58" s="8"/>
      <c r="H58" s="8"/>
      <c r="I58" s="8"/>
    </row>
    <row r="59" spans="1:9" ht="15" x14ac:dyDescent="0.25">
      <c r="A59" s="95"/>
      <c r="B59" s="71"/>
      <c r="C59" s="72"/>
      <c r="D59" s="68"/>
      <c r="E59" s="77"/>
      <c r="F59" s="8"/>
      <c r="G59" s="8"/>
      <c r="H59" s="8"/>
      <c r="I59" s="8"/>
    </row>
    <row r="60" spans="1:9" ht="14.25" x14ac:dyDescent="0.2">
      <c r="A60" s="74" t="s">
        <v>26</v>
      </c>
      <c r="B60" s="71"/>
      <c r="C60" s="72"/>
      <c r="D60" s="79" t="e">
        <f>ROUND(YEARFRAC(DATE(B26,C26,1),B11,0),4)+E20</f>
        <v>#NUM!</v>
      </c>
      <c r="E60" s="77" t="s">
        <v>29</v>
      </c>
      <c r="F60" s="8"/>
      <c r="G60" s="8"/>
      <c r="H60" s="8"/>
      <c r="I60" s="8"/>
    </row>
    <row r="61" spans="1:9" ht="15.75" thickBot="1" x14ac:dyDescent="0.3">
      <c r="A61" s="95" t="s">
        <v>28</v>
      </c>
      <c r="B61" s="81"/>
      <c r="C61" s="96"/>
      <c r="D61" s="82" t="e">
        <f>C30</f>
        <v>#N/A</v>
      </c>
      <c r="E61" s="97" t="e">
        <f>D30</f>
        <v>#N/A</v>
      </c>
      <c r="F61" s="8"/>
      <c r="G61" s="8"/>
      <c r="H61" s="8"/>
      <c r="I61" s="8"/>
    </row>
    <row r="62" spans="1:9" ht="15" hidden="1" x14ac:dyDescent="0.25">
      <c r="A62" s="70"/>
      <c r="B62" s="71"/>
      <c r="C62" s="72"/>
      <c r="D62" s="84"/>
      <c r="E62" s="77"/>
      <c r="F62" s="8"/>
      <c r="G62" s="8"/>
      <c r="H62" s="8"/>
      <c r="I62" s="8"/>
    </row>
    <row r="63" spans="1:9" ht="15" hidden="1" x14ac:dyDescent="0.25">
      <c r="A63" s="70"/>
      <c r="B63" s="71"/>
      <c r="C63" s="72"/>
      <c r="D63" s="67"/>
      <c r="E63" s="69"/>
      <c r="F63" s="8"/>
      <c r="G63" s="8"/>
      <c r="H63" s="8"/>
      <c r="I63" s="8"/>
    </row>
    <row r="64" spans="1:9" ht="15" hidden="1" x14ac:dyDescent="0.25">
      <c r="A64" s="70"/>
      <c r="B64" s="71"/>
      <c r="C64" s="71"/>
      <c r="D64" s="84"/>
      <c r="E64" s="69"/>
      <c r="F64" s="8"/>
      <c r="G64" s="8"/>
      <c r="H64" s="8"/>
      <c r="I64" s="8"/>
    </row>
    <row r="65" spans="1:9" ht="23.25" customHeight="1" thickBot="1" x14ac:dyDescent="0.3">
      <c r="A65" s="86" t="s">
        <v>35</v>
      </c>
      <c r="B65" s="98"/>
      <c r="C65" s="98"/>
      <c r="D65" s="99"/>
      <c r="E65" s="89" t="e">
        <f>+D56-D58</f>
        <v>#N/A</v>
      </c>
      <c r="F65" s="8"/>
      <c r="G65" s="8"/>
      <c r="H65" s="8"/>
      <c r="I65" s="8"/>
    </row>
    <row r="66" spans="1:9" ht="37.5" customHeight="1" thickBot="1" x14ac:dyDescent="0.35">
      <c r="A66" s="157" t="s">
        <v>36</v>
      </c>
      <c r="B66" s="158"/>
      <c r="C66" s="158"/>
      <c r="D66" s="100" t="e">
        <f>"1 "&amp;VLOOKUP($C$26,$O$5:$P$17,2,0)&amp;" "&amp;$B$26</f>
        <v>#N/A</v>
      </c>
      <c r="E66" s="101" t="e">
        <f>+E65+E52</f>
        <v>#N/A</v>
      </c>
      <c r="F66" s="8"/>
      <c r="G66" s="15"/>
      <c r="H66" s="8"/>
      <c r="I66" s="8"/>
    </row>
    <row r="67" spans="1:9" ht="18.75" thickBot="1" x14ac:dyDescent="0.3">
      <c r="A67" s="112" t="s">
        <v>63</v>
      </c>
      <c r="B67" s="102"/>
      <c r="C67" s="102"/>
      <c r="D67" s="103" t="e">
        <f>+D58+D45</f>
        <v>#N/A</v>
      </c>
      <c r="E67" s="113"/>
      <c r="F67" s="8"/>
      <c r="G67" s="8"/>
      <c r="H67" s="8"/>
      <c r="I67" s="8"/>
    </row>
    <row r="68" spans="1:9" ht="14.25" x14ac:dyDescent="0.2">
      <c r="A68" s="32"/>
      <c r="B68" s="32"/>
      <c r="C68" s="32"/>
      <c r="D68" s="32"/>
      <c r="F68" s="8"/>
      <c r="G68" s="8"/>
      <c r="H68" s="8"/>
      <c r="I68" s="8"/>
    </row>
    <row r="69" spans="1:9" ht="15" x14ac:dyDescent="0.25">
      <c r="A69" s="12" t="s">
        <v>44</v>
      </c>
      <c r="B69" s="8"/>
      <c r="C69" s="8"/>
      <c r="D69" s="8"/>
      <c r="E69" s="8"/>
      <c r="F69" s="8"/>
      <c r="G69" s="8"/>
      <c r="H69" s="8"/>
      <c r="I69" s="8"/>
    </row>
    <row r="70" spans="1:9" ht="73.5" customHeight="1" x14ac:dyDescent="0.2">
      <c r="A70" s="147" t="s">
        <v>43</v>
      </c>
      <c r="B70" s="147"/>
      <c r="C70" s="147"/>
      <c r="D70" s="147"/>
      <c r="E70" s="147"/>
      <c r="F70" s="147"/>
      <c r="G70" s="8"/>
      <c r="H70" s="8"/>
      <c r="I70" s="8"/>
    </row>
    <row r="71" spans="1:9" ht="14.25" x14ac:dyDescent="0.2">
      <c r="A71" s="8"/>
      <c r="B71" s="8"/>
      <c r="C71" s="8"/>
      <c r="D71" s="8"/>
      <c r="E71" s="8"/>
      <c r="F71" s="8"/>
      <c r="G71" s="8"/>
      <c r="H71" s="8"/>
      <c r="I71" s="8"/>
    </row>
    <row r="72" spans="1:9" ht="14.25" hidden="1" x14ac:dyDescent="0.2">
      <c r="A72" s="8"/>
      <c r="B72" s="8"/>
      <c r="C72" s="8"/>
      <c r="D72" s="8"/>
      <c r="E72" s="8"/>
      <c r="F72" s="8"/>
      <c r="G72" s="8"/>
      <c r="H72" s="8"/>
      <c r="I72" s="8"/>
    </row>
    <row r="73" spans="1:9" ht="14.25" hidden="1" x14ac:dyDescent="0.2">
      <c r="A73" s="8"/>
      <c r="B73" s="8"/>
      <c r="C73" s="8"/>
      <c r="D73" s="8"/>
      <c r="E73" s="8"/>
      <c r="F73" s="8"/>
      <c r="G73" s="8"/>
      <c r="H73" s="8"/>
      <c r="I73" s="8"/>
    </row>
    <row r="74" spans="1:9" ht="14.25" hidden="1" x14ac:dyDescent="0.2">
      <c r="A74" s="43"/>
      <c r="B74" s="43"/>
      <c r="C74" s="43"/>
      <c r="D74" s="43"/>
      <c r="E74" s="43"/>
      <c r="F74" s="43"/>
      <c r="G74" s="8"/>
      <c r="H74" s="8"/>
      <c r="I74" s="8"/>
    </row>
    <row r="75" spans="1:9" ht="14.25" hidden="1" x14ac:dyDescent="0.2">
      <c r="A75" s="43"/>
      <c r="B75" s="43"/>
      <c r="C75" s="43"/>
      <c r="D75" s="43"/>
      <c r="E75" s="43"/>
      <c r="F75" s="43"/>
      <c r="G75" s="8"/>
      <c r="H75" s="8"/>
      <c r="I75" s="8"/>
    </row>
    <row r="76" spans="1:9" ht="14.25" hidden="1" x14ac:dyDescent="0.2">
      <c r="A76" s="43"/>
      <c r="B76" s="43"/>
      <c r="C76" s="43"/>
      <c r="D76" s="43"/>
      <c r="E76" s="43"/>
      <c r="F76" s="43"/>
      <c r="G76" s="8"/>
      <c r="H76" s="8"/>
      <c r="I76" s="8"/>
    </row>
    <row r="77" spans="1:9" ht="14.25" hidden="1" x14ac:dyDescent="0.2">
      <c r="A77" s="8"/>
      <c r="B77" s="8"/>
      <c r="C77" s="8"/>
      <c r="D77" s="8"/>
      <c r="E77" s="8"/>
      <c r="F77" s="8"/>
      <c r="G77" s="8"/>
      <c r="H77" s="8"/>
      <c r="I77" s="8"/>
    </row>
    <row r="78" spans="1:9" ht="14.25" hidden="1" x14ac:dyDescent="0.2">
      <c r="A78" s="8"/>
      <c r="B78" s="8"/>
      <c r="C78" s="8"/>
      <c r="D78" s="8"/>
      <c r="E78" s="8"/>
      <c r="F78" s="8"/>
      <c r="G78" s="8"/>
      <c r="H78" s="8"/>
      <c r="I78" s="8"/>
    </row>
    <row r="79" spans="1:9" ht="14.25" hidden="1" x14ac:dyDescent="0.2">
      <c r="A79" s="8"/>
      <c r="B79" s="8"/>
      <c r="C79" s="8"/>
      <c r="D79" s="8"/>
      <c r="E79" s="8"/>
      <c r="F79" s="8"/>
      <c r="G79" s="8"/>
      <c r="H79" s="8"/>
      <c r="I79" s="8"/>
    </row>
    <row r="80" spans="1:9" ht="14.25" hidden="1" x14ac:dyDescent="0.2">
      <c r="A80" s="8"/>
      <c r="B80" s="8"/>
      <c r="C80" s="8"/>
      <c r="D80" s="8"/>
      <c r="E80" s="8"/>
      <c r="F80" s="8"/>
      <c r="G80" s="8"/>
      <c r="H80" s="8"/>
      <c r="I80" s="8"/>
    </row>
    <row r="81" spans="1:9" ht="14.25" hidden="1" x14ac:dyDescent="0.2">
      <c r="A81" s="8"/>
      <c r="B81" s="8"/>
      <c r="C81" s="8"/>
      <c r="D81" s="8"/>
      <c r="E81" s="8"/>
      <c r="F81" s="8"/>
      <c r="G81" s="8"/>
      <c r="H81" s="8"/>
      <c r="I81" s="8"/>
    </row>
    <row r="82" spans="1:9" ht="14.25" hidden="1" x14ac:dyDescent="0.2">
      <c r="A82" s="8"/>
      <c r="B82" s="8"/>
      <c r="C82" s="8"/>
      <c r="D82" s="8"/>
      <c r="E82" s="8"/>
      <c r="F82" s="8"/>
      <c r="G82" s="8"/>
      <c r="H82" s="8"/>
      <c r="I82" s="8"/>
    </row>
    <row r="83" spans="1:9" ht="14.25" hidden="1" x14ac:dyDescent="0.2">
      <c r="A83" s="8"/>
      <c r="B83" s="8"/>
      <c r="C83" s="8"/>
      <c r="D83" s="8"/>
      <c r="E83" s="8"/>
      <c r="F83" s="8"/>
      <c r="G83" s="8"/>
      <c r="H83" s="8"/>
      <c r="I83" s="8"/>
    </row>
    <row r="84" spans="1:9" ht="14.25" hidden="1" x14ac:dyDescent="0.2">
      <c r="A84" s="8"/>
      <c r="B84" s="8"/>
      <c r="C84" s="8"/>
      <c r="D84" s="8"/>
      <c r="E84" s="8"/>
      <c r="F84" s="8"/>
      <c r="G84" s="8"/>
      <c r="H84" s="8"/>
      <c r="I84" s="8"/>
    </row>
    <row r="85" spans="1:9" ht="14.25" hidden="1" x14ac:dyDescent="0.2">
      <c r="A85" s="8"/>
      <c r="B85" s="8"/>
      <c r="C85" s="8"/>
      <c r="D85" s="8"/>
      <c r="E85" s="8"/>
      <c r="F85" s="8"/>
      <c r="G85" s="8"/>
      <c r="H85" s="8"/>
      <c r="I85" s="8"/>
    </row>
    <row r="86" spans="1:9" ht="14.25" hidden="1" x14ac:dyDescent="0.2">
      <c r="A86" s="8"/>
      <c r="B86" s="8"/>
      <c r="C86" s="8"/>
      <c r="D86" s="8"/>
      <c r="E86" s="8"/>
      <c r="F86" s="8"/>
      <c r="G86" s="8"/>
      <c r="H86" s="8"/>
      <c r="I86" s="8"/>
    </row>
    <row r="87" spans="1:9" ht="14.25" hidden="1" x14ac:dyDescent="0.2">
      <c r="A87" s="8"/>
      <c r="B87" s="8"/>
      <c r="C87" s="8"/>
      <c r="D87" s="8"/>
      <c r="E87" s="8"/>
      <c r="F87" s="8"/>
      <c r="G87" s="8"/>
      <c r="H87" s="8"/>
      <c r="I87" s="8"/>
    </row>
    <row r="88" spans="1:9" ht="14.25" hidden="1" x14ac:dyDescent="0.2">
      <c r="A88" s="8"/>
      <c r="B88" s="8"/>
      <c r="C88" s="8"/>
      <c r="D88" s="8"/>
      <c r="E88" s="8"/>
      <c r="F88" s="8"/>
      <c r="G88" s="8"/>
      <c r="H88" s="8"/>
      <c r="I88" s="8"/>
    </row>
    <row r="89" spans="1:9" ht="14.25" hidden="1" x14ac:dyDescent="0.2">
      <c r="A89" s="8"/>
      <c r="B89" s="8"/>
      <c r="C89" s="8"/>
      <c r="D89" s="8"/>
      <c r="E89" s="8"/>
      <c r="F89" s="8"/>
      <c r="G89" s="8"/>
      <c r="H89" s="8"/>
      <c r="I89" s="8"/>
    </row>
    <row r="90" spans="1:9" ht="14.25" hidden="1" x14ac:dyDescent="0.2">
      <c r="A90" s="8"/>
      <c r="B90" s="8"/>
      <c r="C90" s="8"/>
      <c r="D90" s="8"/>
      <c r="E90" s="8"/>
      <c r="F90" s="8"/>
      <c r="G90" s="8"/>
      <c r="H90" s="8"/>
      <c r="I90" s="8"/>
    </row>
    <row r="91" spans="1:9" ht="14.25" hidden="1" x14ac:dyDescent="0.2">
      <c r="A91" s="8"/>
      <c r="B91" s="8"/>
      <c r="C91" s="8"/>
      <c r="D91" s="8"/>
      <c r="E91" s="8"/>
      <c r="F91" s="8"/>
      <c r="G91" s="8"/>
      <c r="H91" s="8"/>
      <c r="I91" s="8"/>
    </row>
    <row r="92" spans="1:9" ht="14.25" hidden="1" x14ac:dyDescent="0.2">
      <c r="A92" s="8"/>
      <c r="B92" s="8"/>
      <c r="C92" s="8"/>
      <c r="D92" s="8"/>
      <c r="E92" s="8"/>
      <c r="F92" s="8"/>
      <c r="G92" s="8"/>
      <c r="H92" s="8"/>
      <c r="I92" s="8"/>
    </row>
    <row r="93" spans="1:9" ht="14.25" hidden="1" x14ac:dyDescent="0.2">
      <c r="A93" s="8"/>
      <c r="B93" s="8"/>
      <c r="C93" s="8"/>
      <c r="D93" s="8"/>
      <c r="E93" s="8"/>
      <c r="F93" s="8"/>
      <c r="G93" s="8"/>
      <c r="H93" s="8"/>
      <c r="I93" s="8"/>
    </row>
    <row r="94" spans="1:9" ht="14.25" hidden="1" x14ac:dyDescent="0.2">
      <c r="A94" s="8"/>
      <c r="B94" s="8"/>
      <c r="C94" s="8"/>
      <c r="D94" s="8"/>
      <c r="E94" s="8"/>
      <c r="F94" s="8"/>
      <c r="G94" s="8"/>
      <c r="H94" s="8"/>
      <c r="I94" s="8"/>
    </row>
    <row r="95" spans="1:9" ht="14.25" hidden="1" x14ac:dyDescent="0.2">
      <c r="A95" s="8"/>
      <c r="B95" s="8"/>
      <c r="C95" s="8"/>
      <c r="D95" s="8"/>
      <c r="E95" s="8"/>
      <c r="F95" s="8"/>
      <c r="G95" s="8"/>
      <c r="H95" s="8"/>
      <c r="I95" s="8"/>
    </row>
    <row r="96" spans="1:9" ht="14.25" hidden="1" x14ac:dyDescent="0.2">
      <c r="A96" s="8"/>
      <c r="B96" s="8"/>
      <c r="C96" s="8"/>
      <c r="D96" s="8"/>
      <c r="E96" s="8"/>
      <c r="F96" s="8"/>
      <c r="G96" s="8"/>
      <c r="H96" s="8"/>
      <c r="I96" s="8"/>
    </row>
    <row r="97" spans="1:9" ht="14.25" hidden="1" x14ac:dyDescent="0.2">
      <c r="A97" s="8"/>
      <c r="B97" s="8"/>
      <c r="C97" s="8"/>
      <c r="D97" s="8"/>
      <c r="E97" s="8"/>
      <c r="F97" s="8"/>
      <c r="G97" s="8"/>
      <c r="H97" s="8"/>
      <c r="I97" s="8"/>
    </row>
    <row r="98" spans="1:9" ht="14.25" hidden="1" x14ac:dyDescent="0.2">
      <c r="A98" s="8"/>
      <c r="B98" s="8"/>
      <c r="C98" s="8"/>
      <c r="D98" s="8"/>
      <c r="E98" s="8"/>
      <c r="F98" s="8"/>
      <c r="G98" s="8"/>
      <c r="H98" s="8"/>
      <c r="I98" s="8"/>
    </row>
    <row r="99" spans="1:9" ht="14.25" hidden="1" x14ac:dyDescent="0.2">
      <c r="A99" s="8"/>
      <c r="B99" s="8"/>
      <c r="C99" s="8"/>
      <c r="D99" s="8"/>
      <c r="E99" s="8"/>
      <c r="F99" s="8"/>
      <c r="G99" s="8"/>
      <c r="H99" s="8"/>
      <c r="I99" s="8"/>
    </row>
    <row r="100" spans="1:9" ht="14.25" hidden="1" x14ac:dyDescent="0.2">
      <c r="A100" s="8"/>
      <c r="B100" s="8"/>
      <c r="C100" s="8"/>
      <c r="D100" s="8"/>
      <c r="E100" s="8"/>
      <c r="F100" s="8"/>
      <c r="G100" s="8"/>
      <c r="H100" s="8"/>
      <c r="I100" s="8"/>
    </row>
    <row r="101" spans="1:9" ht="14.25" hidden="1" x14ac:dyDescent="0.2">
      <c r="A101" s="8"/>
      <c r="B101" s="8"/>
      <c r="C101" s="8"/>
      <c r="D101" s="8"/>
      <c r="E101" s="8"/>
      <c r="F101" s="8"/>
      <c r="G101" s="8"/>
      <c r="H101" s="8"/>
      <c r="I101" s="8"/>
    </row>
    <row r="102" spans="1:9" ht="14.25" hidden="1" x14ac:dyDescent="0.2">
      <c r="A102" s="8"/>
      <c r="B102" s="8"/>
      <c r="C102" s="8"/>
      <c r="D102" s="8"/>
      <c r="E102" s="8"/>
      <c r="F102" s="8"/>
      <c r="G102" s="8"/>
      <c r="H102" s="8"/>
      <c r="I102" s="8"/>
    </row>
    <row r="103" spans="1:9" ht="14.25" hidden="1" x14ac:dyDescent="0.2">
      <c r="A103" s="8"/>
      <c r="B103" s="8"/>
      <c r="C103" s="8"/>
      <c r="D103" s="8"/>
      <c r="E103" s="8"/>
      <c r="F103" s="8"/>
      <c r="G103" s="8"/>
      <c r="H103" s="8"/>
      <c r="I103" s="8"/>
    </row>
    <row r="104" spans="1:9" ht="14.25" hidden="1" x14ac:dyDescent="0.2">
      <c r="A104" s="8"/>
      <c r="B104" s="8"/>
      <c r="C104" s="8"/>
      <c r="D104" s="8"/>
      <c r="E104" s="8"/>
      <c r="F104" s="8"/>
      <c r="G104" s="8"/>
      <c r="H104" s="8"/>
      <c r="I104" s="8"/>
    </row>
    <row r="105" spans="1:9" ht="14.25" hidden="1" x14ac:dyDescent="0.2">
      <c r="A105" s="8"/>
      <c r="B105" s="8"/>
      <c r="C105" s="8"/>
      <c r="D105" s="8"/>
      <c r="E105" s="8"/>
      <c r="F105" s="8"/>
      <c r="G105" s="8"/>
      <c r="H105" s="8"/>
      <c r="I105" s="8"/>
    </row>
    <row r="106" spans="1:9" ht="14.25" hidden="1" x14ac:dyDescent="0.2">
      <c r="A106" s="8"/>
      <c r="B106" s="8"/>
      <c r="C106" s="8"/>
      <c r="D106" s="8"/>
      <c r="E106" s="8"/>
      <c r="F106" s="8"/>
      <c r="G106" s="8"/>
      <c r="H106" s="8"/>
      <c r="I106" s="8"/>
    </row>
    <row r="107" spans="1:9" ht="14.25" hidden="1" x14ac:dyDescent="0.2">
      <c r="A107" s="8"/>
      <c r="B107" s="8"/>
      <c r="C107" s="8"/>
      <c r="D107" s="8"/>
      <c r="E107" s="8"/>
      <c r="F107" s="8"/>
      <c r="G107" s="8"/>
      <c r="H107" s="8"/>
      <c r="I107" s="8"/>
    </row>
    <row r="108" spans="1:9" ht="14.25" hidden="1" x14ac:dyDescent="0.2">
      <c r="A108" s="8"/>
      <c r="B108" s="8"/>
      <c r="C108" s="8"/>
      <c r="D108" s="8"/>
      <c r="E108" s="8"/>
      <c r="F108" s="8"/>
      <c r="G108" s="8"/>
      <c r="H108" s="8"/>
      <c r="I108" s="8"/>
    </row>
    <row r="109" spans="1:9" ht="14.25" hidden="1" x14ac:dyDescent="0.2">
      <c r="A109" s="8"/>
      <c r="B109" s="8"/>
      <c r="C109" s="8"/>
      <c r="D109" s="8"/>
      <c r="E109" s="8"/>
      <c r="F109" s="8"/>
      <c r="G109" s="8"/>
      <c r="H109" s="8"/>
      <c r="I109" s="8"/>
    </row>
    <row r="110" spans="1:9" ht="14.25" hidden="1" x14ac:dyDescent="0.2">
      <c r="A110" s="8"/>
      <c r="B110" s="8"/>
      <c r="C110" s="8"/>
      <c r="D110" s="8"/>
      <c r="E110" s="8"/>
      <c r="F110" s="8"/>
      <c r="G110" s="8"/>
      <c r="H110" s="8"/>
      <c r="I110" s="8"/>
    </row>
    <row r="111" spans="1:9" ht="14.25" hidden="1" x14ac:dyDescent="0.2">
      <c r="A111" s="8"/>
      <c r="B111" s="8"/>
      <c r="C111" s="8"/>
      <c r="D111" s="8"/>
      <c r="E111" s="8"/>
      <c r="F111" s="8"/>
      <c r="G111" s="8"/>
      <c r="H111" s="8"/>
      <c r="I111" s="8"/>
    </row>
    <row r="112" spans="1:9" ht="14.25" hidden="1" x14ac:dyDescent="0.2">
      <c r="A112" s="8"/>
      <c r="B112" s="8"/>
      <c r="C112" s="8"/>
      <c r="D112" s="8"/>
      <c r="E112" s="8"/>
      <c r="F112" s="8"/>
      <c r="G112" s="8"/>
      <c r="H112" s="8"/>
      <c r="I112" s="8"/>
    </row>
    <row r="113" spans="1:9" ht="14.25" hidden="1" x14ac:dyDescent="0.2">
      <c r="A113" s="8"/>
      <c r="B113" s="8"/>
      <c r="C113" s="8"/>
      <c r="D113" s="8"/>
      <c r="E113" s="8"/>
      <c r="F113" s="8"/>
      <c r="G113" s="8"/>
      <c r="H113" s="8"/>
      <c r="I113" s="8"/>
    </row>
    <row r="114" spans="1:9" ht="14.25" hidden="1" x14ac:dyDescent="0.2">
      <c r="A114" s="8"/>
      <c r="B114" s="8"/>
      <c r="C114" s="8"/>
      <c r="D114" s="8"/>
      <c r="E114" s="8"/>
      <c r="F114" s="8"/>
      <c r="G114" s="8"/>
      <c r="H114" s="8"/>
      <c r="I114" s="8"/>
    </row>
    <row r="115" spans="1:9" ht="14.25" hidden="1" x14ac:dyDescent="0.2">
      <c r="A115" s="8"/>
      <c r="B115" s="8"/>
      <c r="C115" s="8"/>
      <c r="D115" s="8"/>
      <c r="E115" s="8"/>
      <c r="F115" s="8"/>
      <c r="G115" s="8"/>
      <c r="H115" s="8"/>
      <c r="I115" s="8"/>
    </row>
    <row r="116" spans="1:9" ht="14.25" hidden="1" x14ac:dyDescent="0.2">
      <c r="A116" s="8"/>
      <c r="B116" s="8"/>
      <c r="C116" s="8"/>
      <c r="D116" s="8"/>
      <c r="E116" s="8"/>
      <c r="F116" s="8"/>
      <c r="G116" s="8"/>
      <c r="H116" s="8"/>
      <c r="I116" s="8"/>
    </row>
    <row r="117" spans="1:9" ht="14.25" hidden="1" x14ac:dyDescent="0.2">
      <c r="A117" s="8"/>
      <c r="B117" s="8"/>
      <c r="C117" s="8"/>
      <c r="D117" s="8"/>
      <c r="E117" s="8"/>
      <c r="F117" s="8"/>
      <c r="G117" s="8"/>
      <c r="H117" s="8"/>
      <c r="I117" s="8"/>
    </row>
    <row r="118" spans="1:9" ht="14.25" hidden="1" x14ac:dyDescent="0.2">
      <c r="A118" s="8"/>
      <c r="B118" s="8"/>
      <c r="C118" s="8"/>
      <c r="D118" s="8"/>
      <c r="E118" s="8"/>
      <c r="F118" s="8"/>
      <c r="G118" s="8"/>
      <c r="H118" s="8"/>
      <c r="I118" s="8"/>
    </row>
    <row r="119" spans="1:9" ht="14.25" hidden="1" x14ac:dyDescent="0.2">
      <c r="A119" s="8"/>
      <c r="B119" s="8"/>
      <c r="C119" s="8"/>
      <c r="D119" s="8"/>
      <c r="E119" s="8"/>
      <c r="F119" s="8"/>
      <c r="G119" s="8"/>
      <c r="H119" s="8"/>
      <c r="I119" s="8"/>
    </row>
    <row r="120" spans="1:9" ht="14.25" hidden="1" x14ac:dyDescent="0.2">
      <c r="A120" s="8"/>
      <c r="B120" s="8"/>
      <c r="C120" s="8"/>
      <c r="D120" s="8"/>
      <c r="E120" s="8"/>
      <c r="F120" s="8"/>
      <c r="G120" s="8"/>
      <c r="H120" s="8"/>
      <c r="I120" s="8"/>
    </row>
    <row r="121" spans="1:9" ht="14.25" hidden="1" x14ac:dyDescent="0.2">
      <c r="A121" s="8"/>
      <c r="B121" s="8"/>
      <c r="C121" s="8"/>
      <c r="D121" s="8"/>
      <c r="E121" s="8"/>
      <c r="F121" s="8"/>
      <c r="G121" s="8"/>
      <c r="H121" s="8"/>
      <c r="I121" s="8"/>
    </row>
    <row r="122" spans="1:9" ht="14.25" hidden="1" x14ac:dyDescent="0.2">
      <c r="A122" s="8"/>
      <c r="B122" s="8"/>
      <c r="C122" s="8"/>
      <c r="D122" s="8"/>
      <c r="E122" s="8"/>
      <c r="F122" s="8"/>
      <c r="G122" s="8"/>
      <c r="H122" s="8"/>
      <c r="I122" s="8"/>
    </row>
    <row r="123" spans="1:9" ht="14.25" hidden="1" x14ac:dyDescent="0.2">
      <c r="A123" s="8"/>
      <c r="B123" s="8"/>
      <c r="C123" s="8"/>
      <c r="D123" s="8"/>
      <c r="E123" s="8"/>
      <c r="F123" s="8"/>
      <c r="G123" s="8"/>
      <c r="H123" s="8"/>
      <c r="I123" s="8"/>
    </row>
    <row r="124" spans="1:9" hidden="1" x14ac:dyDescent="0.2"/>
    <row r="125" spans="1:9" hidden="1" x14ac:dyDescent="0.2"/>
    <row r="126" spans="1:9" hidden="1" x14ac:dyDescent="0.2"/>
    <row r="127" spans="1:9" hidden="1" x14ac:dyDescent="0.2"/>
    <row r="128" spans="1:9" hidden="1" x14ac:dyDescent="0.2"/>
    <row r="129" hidden="1" x14ac:dyDescent="0.2"/>
    <row r="130" hidden="1" x14ac:dyDescent="0.2"/>
  </sheetData>
  <sheetProtection algorithmName="SHA-512" hashValue="hSHqBy4u7KChuKMm93/Orcv1J4wpggvSEoM0r4Ay2WXba6XTlxob3HBghHnfFmt0sBlue+Bml4sRNCwf6ppEmQ==" saltValue="Aw47NA0xmS00ecAvAT3OHQ==" spinCount="100000" sheet="1" objects="1" scenarios="1"/>
  <protectedRanges>
    <protectedRange password="A4FF" sqref="B4 A8:A11 C14 A20:E20 C22:D23 E23 B26:C26" name="Range1"/>
  </protectedRanges>
  <mergeCells count="14">
    <mergeCell ref="A70:F70"/>
    <mergeCell ref="A54:E54"/>
    <mergeCell ref="A36:C37"/>
    <mergeCell ref="A66:C66"/>
    <mergeCell ref="A41:E41"/>
    <mergeCell ref="A1:E1"/>
    <mergeCell ref="C39:E40"/>
    <mergeCell ref="A14:B14"/>
    <mergeCell ref="B4:D4"/>
    <mergeCell ref="A35:E35"/>
    <mergeCell ref="A39:B40"/>
    <mergeCell ref="A17:E18"/>
    <mergeCell ref="A15:G15"/>
    <mergeCell ref="A2:E2"/>
  </mergeCells>
  <phoneticPr fontId="2" type="noConversion"/>
  <conditionalFormatting sqref="A35:XFD71">
    <cfRule type="expression" dxfId="4" priority="1">
      <formula>$E$20=""</formula>
    </cfRule>
  </conditionalFormatting>
  <dataValidations xWindow="129" yWindow="443" count="15">
    <dataValidation allowBlank="1" showInputMessage="1" showErrorMessage="1" prompt="Entrez votre nom" sqref="B4:D4"/>
    <dataValidation type="whole" showInputMessage="1" showErrorMessage="1" prompt="Entrez l'année seulement  (AAAA)" sqref="C23">
      <formula1>1940</formula1>
      <formula2>2100</formula2>
    </dataValidation>
    <dataValidation type="whole" allowBlank="1" showInputMessage="1" showErrorMessage="1" prompt="Entrez le mois seulement  (MM)" sqref="D23">
      <formula1>1</formula1>
      <formula2>12</formula2>
    </dataValidation>
    <dataValidation type="whole" allowBlank="1" showInputMessage="1" showErrorMessage="1" prompt="Entrez le jour" sqref="E23">
      <formula1>1</formula1>
      <formula2>31</formula2>
    </dataValidation>
    <dataValidation type="whole" operator="greaterThan" allowBlank="1" showInputMessage="1" showErrorMessage="1" error="Note: Fonctionne pour les dates de retraite prévue 2014 et après." prompt="Entrez l'année de la date que vous aimeriez prendre votre retraite._x000a_Sinon entrez l'année de la date normale de retaite." sqref="B26">
      <formula1>2013</formula1>
    </dataValidation>
    <dataValidation allowBlank="1" showInputMessage="1" showErrorMessage="1" prompt="Vous devez compléter tous les champs en bleu._x000a__x000a_Il vous faudra votre dernier relevé de l'Assomption Vie ainsi que le montant de votre salaire de base des trois dernières années._x000a_" sqref="A1:E2"/>
    <dataValidation allowBlank="1" showInputMessage="1" showErrorMessage="1" prompt="Ce doit toujours être le premier du mois." sqref="E22"/>
    <dataValidation type="whole" allowBlank="1" showInputMessage="1" showErrorMessage="1" prompt="Entrer l'année : (AAAA)_x000a_Voir la dernière page de votre relevé dans la sections « Renseignements personnels » " sqref="C22">
      <formula1>1940</formula1>
      <formula2>2100</formula2>
    </dataValidation>
    <dataValidation type="whole" allowBlank="1" showInputMessage="1" showErrorMessage="1" prompt="Entrez le mois de la date que vous voulez prendre votre retraite" sqref="C26">
      <formula1>1</formula1>
      <formula2>12</formula2>
    </dataValidation>
    <dataValidation type="decimal" allowBlank="1" showInputMessage="1" showErrorMessage="1" prompt="Voir la page 2 de votre relevé dans la section « Vos droits »._x000a__x000a_Entrez nombre d'années. _x000a__x000a_" sqref="B20">
      <formula1>0</formula1>
      <formula2>40</formula2>
    </dataValidation>
    <dataValidation type="whole" allowBlank="1" showInputMessage="1" showErrorMessage="1" prompt="Entrer le mois :  (MM)_x000a_Voir la dernière page de votre relevé dans la sections « Renseignements personnels » " sqref="D22">
      <formula1>1</formula1>
      <formula2>12</formula2>
    </dataValidation>
    <dataValidation type="decimal" allowBlank="1" showInputMessage="1" showErrorMessage="1" prompt="Voir la page 2 de votre relevé dans la section « Vos droits »_x000a_Entrez nombre d'années. _x000a_" sqref="A20">
      <formula1>0</formula1>
      <formula2>40</formula2>
    </dataValidation>
    <dataValidation type="whole" allowBlank="1" showInputMessage="1" showErrorMessage="1" promptTitle="Entrez votre salaire annuel" prompt="Faire la moyenne de votre salaire annuel régulier plus les primes administratives  Les surcharges ne doivent pas être incluses dans le calcul" sqref="A8:A11">
      <formula1>0</formula1>
      <formula2>999999</formula2>
    </dataValidation>
    <dataValidation type="decimal" allowBlank="1" showInputMessage="1" showErrorMessage="1" prompt="Voir la page 2 de votre relevé dans la section « Vos droits »._x000a__x000a_Entrez nombre d'années. _x000a_" sqref="C20:E20">
      <formula1>0</formula1>
      <formula2>40</formula2>
    </dataValidation>
    <dataValidation type="list" allowBlank="1" showInputMessage="1" showErrorMessage="1" promptTitle="% augmentation de l'échelle" prompt="Entrez un pourcentage possible d'augmentation de salaire. L'augmentation est sur une base annuelle donc il faut ajuster s'il y en a deux. Si vous pensez que votre salaire n'augmentera plus au cours des prochaines années, laissez à 0%." sqref="C14">
      <formula1>$M$5:$M$21</formula1>
    </dataValidation>
  </dataValidations>
  <printOptions horizontalCentered="1"/>
  <pageMargins left="0.75" right="0.75" top="1" bottom="1" header="0.5" footer="0.5"/>
  <pageSetup scale="65" orientation="portrait" r:id="rId1"/>
  <headerFooter alignWithMargins="0">
    <oddFooter>&amp;L&amp;D&amp;R&amp;Z&amp;F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L55"/>
  <sheetViews>
    <sheetView zoomScaleNormal="100" workbookViewId="0"/>
  </sheetViews>
  <sheetFormatPr defaultColWidth="11.42578125" defaultRowHeight="12.75" x14ac:dyDescent="0.2"/>
  <cols>
    <col min="1" max="1" width="12.7109375" customWidth="1"/>
    <col min="2" max="2" width="15.42578125" customWidth="1"/>
    <col min="3" max="3" width="18.28515625" bestFit="1" customWidth="1"/>
    <col min="4" max="4" width="23.85546875" customWidth="1"/>
    <col min="5" max="5" width="12.140625" bestFit="1" customWidth="1"/>
    <col min="6" max="6" width="11.42578125" bestFit="1" customWidth="1"/>
    <col min="8" max="8" width="16.42578125" customWidth="1"/>
    <col min="11" max="11" width="17" customWidth="1"/>
    <col min="12" max="12" width="15.85546875" customWidth="1"/>
  </cols>
  <sheetData>
    <row r="2" spans="1:12" x14ac:dyDescent="0.2">
      <c r="H2" s="1">
        <f>MIN(2%,Data!C14)</f>
        <v>0</v>
      </c>
    </row>
    <row r="3" spans="1:12" x14ac:dyDescent="0.2">
      <c r="A3" t="s">
        <v>1</v>
      </c>
      <c r="B3" t="s">
        <v>4</v>
      </c>
      <c r="C3" t="s">
        <v>6</v>
      </c>
      <c r="D3" s="7" t="s">
        <v>8</v>
      </c>
      <c r="E3" t="s">
        <v>3</v>
      </c>
      <c r="H3" t="s">
        <v>5</v>
      </c>
      <c r="J3" s="38" t="s">
        <v>37</v>
      </c>
    </row>
    <row r="4" spans="1:12" x14ac:dyDescent="0.2">
      <c r="A4" s="118">
        <f>+MAX(tablemax[Année])-3</f>
        <v>2020</v>
      </c>
      <c r="B4" s="4">
        <f>+Data!A8</f>
        <v>0</v>
      </c>
      <c r="C4" s="2">
        <v>0</v>
      </c>
      <c r="D4" s="2">
        <v>0</v>
      </c>
      <c r="H4" s="4">
        <f>+VLOOKUP(A4,tablemax[],3,0)</f>
        <v>154611</v>
      </c>
      <c r="I4" s="5"/>
    </row>
    <row r="5" spans="1:12" x14ac:dyDescent="0.2">
      <c r="A5">
        <f>+A4+1</f>
        <v>2021</v>
      </c>
      <c r="B5" s="4">
        <f>+Data!A9</f>
        <v>0</v>
      </c>
      <c r="C5" s="2">
        <v>0</v>
      </c>
      <c r="D5" s="2">
        <v>0</v>
      </c>
      <c r="H5" s="4">
        <f>+VLOOKUP(A5,tablemax[],3,0)</f>
        <v>216370.66666666666</v>
      </c>
      <c r="I5" s="5"/>
      <c r="J5" t="s">
        <v>1</v>
      </c>
      <c r="K5" t="s">
        <v>38</v>
      </c>
      <c r="L5" t="s">
        <v>42</v>
      </c>
    </row>
    <row r="6" spans="1:12" x14ac:dyDescent="0.2">
      <c r="A6">
        <f t="shared" ref="A6:A55" si="0">+A5+1</f>
        <v>2022</v>
      </c>
      <c r="B6" s="4">
        <f>+Data!A10</f>
        <v>0</v>
      </c>
      <c r="C6" s="2">
        <v>0</v>
      </c>
      <c r="D6" s="2">
        <v>0</v>
      </c>
      <c r="H6" s="4">
        <f>+VLOOKUP(A6,tablemax[],3,0)</f>
        <v>228000</v>
      </c>
      <c r="I6" s="5"/>
      <c r="J6" s="36">
        <v>1990</v>
      </c>
      <c r="K6" s="37">
        <v>1722.22</v>
      </c>
      <c r="L6" s="119">
        <f>+tablemax[[#This Row],[Plafond des PD]]/0.02</f>
        <v>86111</v>
      </c>
    </row>
    <row r="7" spans="1:12" x14ac:dyDescent="0.2">
      <c r="A7">
        <f t="shared" si="0"/>
        <v>2023</v>
      </c>
      <c r="B7" s="4">
        <f>+Data!A11</f>
        <v>0</v>
      </c>
      <c r="C7" s="2">
        <v>0</v>
      </c>
      <c r="D7" s="2">
        <v>0</v>
      </c>
      <c r="H7" s="2">
        <f>+H6*(1+$H$2)</f>
        <v>228000</v>
      </c>
      <c r="I7" s="5"/>
      <c r="J7" s="36">
        <v>1991</v>
      </c>
      <c r="K7" s="37">
        <v>1722.22</v>
      </c>
      <c r="L7" s="119">
        <f>+tablemax[[#This Row],[Plafond des PD]]/0.02</f>
        <v>86111</v>
      </c>
    </row>
    <row r="8" spans="1:12" x14ac:dyDescent="0.2">
      <c r="A8">
        <f>+A7+1</f>
        <v>2024</v>
      </c>
      <c r="B8" s="2">
        <f>+B7*(1+Data!$C$14)</f>
        <v>0</v>
      </c>
      <c r="C8" s="2">
        <v>0</v>
      </c>
      <c r="D8" s="2">
        <v>0</v>
      </c>
      <c r="H8" s="2">
        <f>+H7*(1+$H$2)</f>
        <v>228000</v>
      </c>
      <c r="I8" s="5"/>
      <c r="J8" s="36">
        <v>1992</v>
      </c>
      <c r="K8" s="37">
        <v>1722.22</v>
      </c>
      <c r="L8" s="119">
        <f>+tablemax[[#This Row],[Plafond des PD]]/0.02</f>
        <v>86111</v>
      </c>
    </row>
    <row r="9" spans="1:12" x14ac:dyDescent="0.2">
      <c r="A9">
        <f t="shared" si="0"/>
        <v>2025</v>
      </c>
      <c r="B9" s="2">
        <f>+B8*(1+Data!$C$14)</f>
        <v>0</v>
      </c>
      <c r="C9" s="2">
        <v>0</v>
      </c>
      <c r="D9" s="2">
        <v>0</v>
      </c>
      <c r="H9" s="2">
        <f>+H8*(1+$H$2)</f>
        <v>228000</v>
      </c>
      <c r="I9" s="5"/>
      <c r="J9" s="36">
        <v>1993</v>
      </c>
      <c r="K9" s="37">
        <v>1722.22</v>
      </c>
      <c r="L9" s="119">
        <f>+tablemax[[#This Row],[Plafond des PD]]/0.02</f>
        <v>86111</v>
      </c>
    </row>
    <row r="10" spans="1:12" x14ac:dyDescent="0.2">
      <c r="A10">
        <f t="shared" si="0"/>
        <v>2026</v>
      </c>
      <c r="B10" s="2">
        <f>+B9*(1+Data!$C$14)</f>
        <v>0</v>
      </c>
      <c r="C10" s="2">
        <v>0</v>
      </c>
      <c r="D10" s="2">
        <v>0</v>
      </c>
      <c r="H10" s="2">
        <f t="shared" ref="H10:H55" si="1">+H9*(1+$H$2)</f>
        <v>228000</v>
      </c>
      <c r="I10" s="5"/>
      <c r="J10" s="36">
        <v>1994</v>
      </c>
      <c r="K10" s="37">
        <v>1722.22</v>
      </c>
      <c r="L10" s="119">
        <f>+tablemax[[#This Row],[Plafond des PD]]/0.02</f>
        <v>86111</v>
      </c>
    </row>
    <row r="11" spans="1:12" x14ac:dyDescent="0.2">
      <c r="A11">
        <f t="shared" si="0"/>
        <v>2027</v>
      </c>
      <c r="B11" s="2">
        <f>+B10*(1+Data!$C$14)</f>
        <v>0</v>
      </c>
      <c r="C11" s="2">
        <v>0</v>
      </c>
      <c r="D11" s="2">
        <v>0</v>
      </c>
      <c r="H11" s="2">
        <f t="shared" si="1"/>
        <v>228000</v>
      </c>
      <c r="I11" s="5"/>
      <c r="J11" s="36">
        <v>1995</v>
      </c>
      <c r="K11" s="37">
        <v>1722.22</v>
      </c>
      <c r="L11" s="119">
        <f>+tablemax[[#This Row],[Plafond des PD]]/0.02</f>
        <v>86111</v>
      </c>
    </row>
    <row r="12" spans="1:12" x14ac:dyDescent="0.2">
      <c r="A12">
        <f t="shared" si="0"/>
        <v>2028</v>
      </c>
      <c r="B12" s="2">
        <f>+B11*(1+Data!$C$14)</f>
        <v>0</v>
      </c>
      <c r="C12" s="2">
        <v>0</v>
      </c>
      <c r="D12" s="2">
        <v>0</v>
      </c>
      <c r="H12" s="2">
        <f t="shared" si="1"/>
        <v>228000</v>
      </c>
      <c r="I12" s="5"/>
      <c r="J12" s="36">
        <v>1996</v>
      </c>
      <c r="K12" s="37">
        <v>1722.22</v>
      </c>
      <c r="L12" s="119">
        <f>+tablemax[[#This Row],[Plafond des PD]]/0.02</f>
        <v>86111</v>
      </c>
    </row>
    <row r="13" spans="1:12" x14ac:dyDescent="0.2">
      <c r="A13">
        <f t="shared" si="0"/>
        <v>2029</v>
      </c>
      <c r="B13" s="2">
        <f>+B12*(1+Data!$C$14)</f>
        <v>0</v>
      </c>
      <c r="C13" s="2">
        <v>0</v>
      </c>
      <c r="D13" s="2">
        <v>0</v>
      </c>
      <c r="H13" s="2">
        <f t="shared" si="1"/>
        <v>228000</v>
      </c>
      <c r="I13" s="5"/>
      <c r="J13" s="36">
        <v>1997</v>
      </c>
      <c r="K13" s="37">
        <v>1722.22</v>
      </c>
      <c r="L13" s="119">
        <f>+tablemax[[#This Row],[Plafond des PD]]/0.02</f>
        <v>86111</v>
      </c>
    </row>
    <row r="14" spans="1:12" x14ac:dyDescent="0.2">
      <c r="A14">
        <f t="shared" si="0"/>
        <v>2030</v>
      </c>
      <c r="B14" s="2">
        <f>+B13*(1+Data!$C$14)</f>
        <v>0</v>
      </c>
      <c r="C14" s="2">
        <v>0</v>
      </c>
      <c r="D14" s="2">
        <v>0</v>
      </c>
      <c r="E14" s="2"/>
      <c r="H14" s="2">
        <f t="shared" si="1"/>
        <v>228000</v>
      </c>
      <c r="I14" s="5"/>
      <c r="J14" s="36">
        <v>1998</v>
      </c>
      <c r="K14" s="37">
        <v>1722.22</v>
      </c>
      <c r="L14" s="119">
        <f>+tablemax[[#This Row],[Plafond des PD]]/0.02</f>
        <v>86111</v>
      </c>
    </row>
    <row r="15" spans="1:12" x14ac:dyDescent="0.2">
      <c r="A15">
        <f t="shared" si="0"/>
        <v>2031</v>
      </c>
      <c r="B15" s="2">
        <f>+B14*(1+Data!$C$14)</f>
        <v>0</v>
      </c>
      <c r="C15" s="2">
        <v>0</v>
      </c>
      <c r="D15" s="2">
        <v>0</v>
      </c>
      <c r="E15" s="2"/>
      <c r="H15" s="2">
        <f t="shared" si="1"/>
        <v>228000</v>
      </c>
      <c r="I15" s="5"/>
      <c r="J15" s="36">
        <v>1999</v>
      </c>
      <c r="K15" s="37">
        <v>1722.22</v>
      </c>
      <c r="L15" s="119">
        <f>+tablemax[[#This Row],[Plafond des PD]]/0.02</f>
        <v>86111</v>
      </c>
    </row>
    <row r="16" spans="1:12" x14ac:dyDescent="0.2">
      <c r="A16">
        <f t="shared" si="0"/>
        <v>2032</v>
      </c>
      <c r="B16" s="2">
        <f>+B15*(1+Data!$C$14)</f>
        <v>0</v>
      </c>
      <c r="C16" s="2">
        <v>0</v>
      </c>
      <c r="D16" s="2">
        <v>0</v>
      </c>
      <c r="E16" s="2"/>
      <c r="H16" s="2">
        <f t="shared" si="1"/>
        <v>228000</v>
      </c>
      <c r="I16" s="5"/>
      <c r="J16" s="36">
        <v>2000</v>
      </c>
      <c r="K16" s="37">
        <v>1722.22</v>
      </c>
      <c r="L16" s="119">
        <f>+tablemax[[#This Row],[Plafond des PD]]/0.02</f>
        <v>86111</v>
      </c>
    </row>
    <row r="17" spans="1:12" x14ac:dyDescent="0.2">
      <c r="A17">
        <f t="shared" si="0"/>
        <v>2033</v>
      </c>
      <c r="B17" s="2">
        <f>+B16*(1+Data!$C$14)</f>
        <v>0</v>
      </c>
      <c r="C17" s="2">
        <v>0</v>
      </c>
      <c r="D17" s="2">
        <v>0</v>
      </c>
      <c r="E17" s="2"/>
      <c r="H17" s="2">
        <f t="shared" si="1"/>
        <v>228000</v>
      </c>
      <c r="I17" s="5"/>
      <c r="J17" s="36">
        <v>2001</v>
      </c>
      <c r="K17" s="37">
        <v>1722.22</v>
      </c>
      <c r="L17" s="119">
        <f>+tablemax[[#This Row],[Plafond des PD]]/0.02</f>
        <v>86111</v>
      </c>
    </row>
    <row r="18" spans="1:12" x14ac:dyDescent="0.2">
      <c r="A18">
        <f t="shared" si="0"/>
        <v>2034</v>
      </c>
      <c r="B18" s="2">
        <f>+B17*(1+Data!$C$14)</f>
        <v>0</v>
      </c>
      <c r="C18" s="2">
        <v>0</v>
      </c>
      <c r="D18" s="2">
        <v>0</v>
      </c>
      <c r="H18" s="2">
        <f t="shared" si="1"/>
        <v>228000</v>
      </c>
      <c r="J18" s="36">
        <v>2002</v>
      </c>
      <c r="K18" s="37">
        <v>1722.22</v>
      </c>
      <c r="L18" s="119">
        <f>+tablemax[[#This Row],[Plafond des PD]]/0.02</f>
        <v>86111</v>
      </c>
    </row>
    <row r="19" spans="1:12" x14ac:dyDescent="0.2">
      <c r="A19">
        <f t="shared" si="0"/>
        <v>2035</v>
      </c>
      <c r="B19" s="2">
        <f>+B18*(1+Data!$C$14)</f>
        <v>0</v>
      </c>
      <c r="C19" s="2">
        <v>0</v>
      </c>
      <c r="D19" s="2">
        <v>0</v>
      </c>
      <c r="H19" s="2">
        <f t="shared" si="1"/>
        <v>228000</v>
      </c>
      <c r="J19" s="36">
        <v>2003</v>
      </c>
      <c r="K19" s="37">
        <v>1722.22</v>
      </c>
      <c r="L19" s="119">
        <f>+tablemax[[#This Row],[Plafond des PD]]/0.02</f>
        <v>86111</v>
      </c>
    </row>
    <row r="20" spans="1:12" x14ac:dyDescent="0.2">
      <c r="A20">
        <f t="shared" si="0"/>
        <v>2036</v>
      </c>
      <c r="B20" s="2">
        <f>+B19*(1+Data!$C$14)</f>
        <v>0</v>
      </c>
      <c r="C20" s="2">
        <v>0</v>
      </c>
      <c r="D20" s="2">
        <v>0</v>
      </c>
      <c r="H20" s="2">
        <f t="shared" si="1"/>
        <v>228000</v>
      </c>
      <c r="J20" s="36">
        <v>2004</v>
      </c>
      <c r="K20" s="37">
        <v>1833.33</v>
      </c>
      <c r="L20" s="119">
        <f>+tablemax[[#This Row],[Plafond des PD]]/0.02</f>
        <v>91666.5</v>
      </c>
    </row>
    <row r="21" spans="1:12" x14ac:dyDescent="0.2">
      <c r="A21">
        <f t="shared" si="0"/>
        <v>2037</v>
      </c>
      <c r="B21" s="2">
        <f>+B20*(1+Data!$C$14)</f>
        <v>0</v>
      </c>
      <c r="C21" s="2">
        <v>0</v>
      </c>
      <c r="D21" s="2">
        <v>0</v>
      </c>
      <c r="H21" s="2">
        <f t="shared" si="1"/>
        <v>228000</v>
      </c>
      <c r="J21" s="36">
        <v>2005</v>
      </c>
      <c r="K21" s="37">
        <v>2000</v>
      </c>
      <c r="L21" s="119">
        <f>+tablemax[[#This Row],[Plafond des PD]]/0.02</f>
        <v>100000</v>
      </c>
    </row>
    <row r="22" spans="1:12" x14ac:dyDescent="0.2">
      <c r="A22">
        <f t="shared" si="0"/>
        <v>2038</v>
      </c>
      <c r="B22" s="2">
        <f>+B21*(1+Data!$C$14)</f>
        <v>0</v>
      </c>
      <c r="C22" s="2">
        <v>0</v>
      </c>
      <c r="D22" s="2">
        <v>0</v>
      </c>
      <c r="H22" s="2">
        <f t="shared" si="1"/>
        <v>228000</v>
      </c>
      <c r="J22" s="36">
        <v>2006</v>
      </c>
      <c r="K22" s="37">
        <v>2111.11</v>
      </c>
      <c r="L22" s="119">
        <f>+tablemax[[#This Row],[Plafond des PD]]/0.02</f>
        <v>105555.5</v>
      </c>
    </row>
    <row r="23" spans="1:12" x14ac:dyDescent="0.2">
      <c r="A23">
        <f t="shared" si="0"/>
        <v>2039</v>
      </c>
      <c r="B23" s="2">
        <f>+B22*(1+Data!$C$14)</f>
        <v>0</v>
      </c>
      <c r="C23" s="2">
        <v>0</v>
      </c>
      <c r="D23" s="2">
        <v>0</v>
      </c>
      <c r="H23" s="2">
        <f t="shared" si="1"/>
        <v>228000</v>
      </c>
      <c r="J23" s="36">
        <v>2007</v>
      </c>
      <c r="K23" s="37">
        <v>2222.2199999999998</v>
      </c>
      <c r="L23" s="119">
        <f>+tablemax[[#This Row],[Plafond des PD]]/0.02</f>
        <v>111110.99999999999</v>
      </c>
    </row>
    <row r="24" spans="1:12" x14ac:dyDescent="0.2">
      <c r="A24">
        <f t="shared" si="0"/>
        <v>2040</v>
      </c>
      <c r="B24" s="2">
        <f>+B23*(1+Data!$C$14)</f>
        <v>0</v>
      </c>
      <c r="C24" s="2">
        <v>0</v>
      </c>
      <c r="D24" s="2">
        <v>0</v>
      </c>
      <c r="E24" s="2"/>
      <c r="H24" s="2">
        <f t="shared" si="1"/>
        <v>228000</v>
      </c>
      <c r="J24" s="36">
        <v>2008</v>
      </c>
      <c r="K24" s="37">
        <v>2333.33</v>
      </c>
      <c r="L24" s="119">
        <f>+tablemax[[#This Row],[Plafond des PD]]/0.02</f>
        <v>116666.5</v>
      </c>
    </row>
    <row r="25" spans="1:12" x14ac:dyDescent="0.2">
      <c r="A25">
        <f t="shared" si="0"/>
        <v>2041</v>
      </c>
      <c r="B25" s="2">
        <f>+B24*(1+Data!$C$14)</f>
        <v>0</v>
      </c>
      <c r="C25" s="2">
        <v>0</v>
      </c>
      <c r="D25" s="2">
        <v>0</v>
      </c>
      <c r="H25" s="2">
        <f t="shared" si="1"/>
        <v>228000</v>
      </c>
      <c r="J25" s="36">
        <v>2009</v>
      </c>
      <c r="K25" s="37">
        <v>2444.44</v>
      </c>
      <c r="L25" s="119">
        <f>+tablemax[[#This Row],[Plafond des PD]]/0.02</f>
        <v>122222</v>
      </c>
    </row>
    <row r="26" spans="1:12" x14ac:dyDescent="0.2">
      <c r="A26">
        <f t="shared" si="0"/>
        <v>2042</v>
      </c>
      <c r="B26" s="2">
        <f>+B25*(1+Data!$C$14)</f>
        <v>0</v>
      </c>
      <c r="C26" s="2">
        <v>0</v>
      </c>
      <c r="D26" s="2">
        <v>0</v>
      </c>
      <c r="H26" s="2">
        <f t="shared" si="1"/>
        <v>228000</v>
      </c>
      <c r="J26" s="36">
        <v>2010</v>
      </c>
      <c r="K26" s="37">
        <v>2494.44</v>
      </c>
      <c r="L26" s="119">
        <f>+tablemax[[#This Row],[Plafond des PD]]/0.02</f>
        <v>124722</v>
      </c>
    </row>
    <row r="27" spans="1:12" x14ac:dyDescent="0.2">
      <c r="A27">
        <f t="shared" si="0"/>
        <v>2043</v>
      </c>
      <c r="B27" s="2">
        <f>+B26*(1+Data!$C$14)</f>
        <v>0</v>
      </c>
      <c r="C27" s="2">
        <v>0</v>
      </c>
      <c r="D27" s="2">
        <v>0</v>
      </c>
      <c r="H27" s="2">
        <f t="shared" si="1"/>
        <v>228000</v>
      </c>
      <c r="J27" s="36">
        <v>2011</v>
      </c>
      <c r="K27" s="37">
        <v>2552.2199999999998</v>
      </c>
      <c r="L27" s="119">
        <f>+tablemax[[#This Row],[Plafond des PD]]/0.02</f>
        <v>127610.99999999999</v>
      </c>
    </row>
    <row r="28" spans="1:12" x14ac:dyDescent="0.2">
      <c r="A28">
        <f t="shared" si="0"/>
        <v>2044</v>
      </c>
      <c r="B28" s="2">
        <f>+B27*(1+Data!$C$14)</f>
        <v>0</v>
      </c>
      <c r="C28" s="2">
        <v>0</v>
      </c>
      <c r="D28" s="2">
        <v>0</v>
      </c>
      <c r="H28" s="2">
        <f t="shared" si="1"/>
        <v>228000</v>
      </c>
      <c r="J28" s="36">
        <v>2012</v>
      </c>
      <c r="K28" s="37">
        <v>2646.67</v>
      </c>
      <c r="L28" s="119">
        <f>+tablemax[[#This Row],[Plafond des PD]]/0.02</f>
        <v>132333.5</v>
      </c>
    </row>
    <row r="29" spans="1:12" x14ac:dyDescent="0.2">
      <c r="A29">
        <f t="shared" si="0"/>
        <v>2045</v>
      </c>
      <c r="B29" s="2">
        <f>+B28*(1+Data!$C$14)</f>
        <v>0</v>
      </c>
      <c r="C29" s="2">
        <v>0</v>
      </c>
      <c r="D29" s="2">
        <v>0</v>
      </c>
      <c r="H29" s="2">
        <f t="shared" si="1"/>
        <v>228000</v>
      </c>
      <c r="J29" s="36">
        <v>2013</v>
      </c>
      <c r="K29" s="37">
        <v>2696.67</v>
      </c>
      <c r="L29" s="119">
        <f>+tablemax[[#This Row],[Plafond des PD]]/0.02</f>
        <v>134833.5</v>
      </c>
    </row>
    <row r="30" spans="1:12" x14ac:dyDescent="0.2">
      <c r="A30">
        <f t="shared" si="0"/>
        <v>2046</v>
      </c>
      <c r="B30" s="2">
        <f>+B29*(1+Data!$C$14)</f>
        <v>0</v>
      </c>
      <c r="C30" s="2">
        <v>0</v>
      </c>
      <c r="D30" s="2">
        <v>0</v>
      </c>
      <c r="H30" s="2">
        <f t="shared" si="1"/>
        <v>228000</v>
      </c>
      <c r="J30" s="36">
        <v>2014</v>
      </c>
      <c r="K30" s="37">
        <v>2770</v>
      </c>
      <c r="L30" s="119">
        <f>+tablemax[[#This Row],[Plafond des PD]]/0.015*0.75</f>
        <v>138500</v>
      </c>
    </row>
    <row r="31" spans="1:12" x14ac:dyDescent="0.2">
      <c r="A31">
        <f t="shared" si="0"/>
        <v>2047</v>
      </c>
      <c r="B31" s="2">
        <f>+B30*(1+Data!$C$14)</f>
        <v>0</v>
      </c>
      <c r="C31" s="2">
        <v>0</v>
      </c>
      <c r="D31" s="2">
        <v>0</v>
      </c>
      <c r="H31" s="2">
        <f t="shared" si="1"/>
        <v>228000</v>
      </c>
      <c r="J31" s="36">
        <v>2015</v>
      </c>
      <c r="K31" s="37">
        <v>2818.89</v>
      </c>
      <c r="L31" s="119">
        <f>+tablemax[[#This Row],[Plafond des PD]]/0.015*0.75</f>
        <v>140944.5</v>
      </c>
    </row>
    <row r="32" spans="1:12" x14ac:dyDescent="0.2">
      <c r="A32">
        <f t="shared" si="0"/>
        <v>2048</v>
      </c>
      <c r="B32" s="2">
        <f>+B31*(1+Data!$C$14)</f>
        <v>0</v>
      </c>
      <c r="C32" s="2">
        <v>0</v>
      </c>
      <c r="D32" s="2">
        <v>0</v>
      </c>
      <c r="H32" s="2">
        <f t="shared" si="1"/>
        <v>228000</v>
      </c>
      <c r="J32" s="36">
        <v>2016</v>
      </c>
      <c r="K32" s="37">
        <v>2890</v>
      </c>
      <c r="L32" s="119">
        <f>+tablemax[[#This Row],[Plafond des PD]]/0.015*0.75</f>
        <v>144500</v>
      </c>
    </row>
    <row r="33" spans="1:12" x14ac:dyDescent="0.2">
      <c r="A33">
        <f t="shared" si="0"/>
        <v>2049</v>
      </c>
      <c r="B33" s="2">
        <f>+B32*(1+Data!$C$14)</f>
        <v>0</v>
      </c>
      <c r="C33" s="2">
        <v>0</v>
      </c>
      <c r="D33" s="2">
        <v>0</v>
      </c>
      <c r="H33" s="2">
        <f t="shared" si="1"/>
        <v>228000</v>
      </c>
      <c r="J33" s="36">
        <v>2017</v>
      </c>
      <c r="K33" s="37">
        <v>2914.44</v>
      </c>
      <c r="L33" s="119">
        <f>+tablemax[[#This Row],[Plafond des PD]]/0.015*0.75</f>
        <v>145722</v>
      </c>
    </row>
    <row r="34" spans="1:12" x14ac:dyDescent="0.2">
      <c r="A34">
        <f t="shared" si="0"/>
        <v>2050</v>
      </c>
      <c r="B34" s="2">
        <f>+B33*(1+Data!$C$14)</f>
        <v>0</v>
      </c>
      <c r="C34" s="2">
        <v>0</v>
      </c>
      <c r="D34" s="2">
        <v>0</v>
      </c>
      <c r="H34" s="2">
        <f t="shared" si="1"/>
        <v>228000</v>
      </c>
      <c r="J34" s="36">
        <v>2018</v>
      </c>
      <c r="K34" s="37">
        <v>2944.44</v>
      </c>
      <c r="L34" s="119">
        <f>+tablemax[[#This Row],[Plafond des PD]]/0.015*0.75</f>
        <v>147222</v>
      </c>
    </row>
    <row r="35" spans="1:12" x14ac:dyDescent="0.2">
      <c r="A35">
        <f t="shared" si="0"/>
        <v>2051</v>
      </c>
      <c r="B35" s="2">
        <f>+B34*(1+Data!$C$14)</f>
        <v>0</v>
      </c>
      <c r="C35" s="2">
        <v>0</v>
      </c>
      <c r="D35" s="2">
        <v>0</v>
      </c>
      <c r="H35" s="2">
        <f t="shared" si="1"/>
        <v>228000</v>
      </c>
      <c r="J35" s="36">
        <v>2019</v>
      </c>
      <c r="K35" s="37">
        <v>3025.56</v>
      </c>
      <c r="L35" s="119">
        <f>+tablemax[[#This Row],[Plafond des PD]]/0.015*0.75</f>
        <v>151278</v>
      </c>
    </row>
    <row r="36" spans="1:12" x14ac:dyDescent="0.2">
      <c r="A36">
        <f t="shared" si="0"/>
        <v>2052</v>
      </c>
      <c r="B36" s="2">
        <f>+B35*(1+Data!$C$14)</f>
        <v>0</v>
      </c>
      <c r="C36" s="2">
        <v>0</v>
      </c>
      <c r="D36" s="2">
        <v>0</v>
      </c>
      <c r="H36" s="2">
        <f t="shared" si="1"/>
        <v>228000</v>
      </c>
      <c r="J36" s="115">
        <v>2020</v>
      </c>
      <c r="K36" s="116">
        <v>3092.22</v>
      </c>
      <c r="L36" s="119">
        <f>+tablemax[[#This Row],[Plafond des PD]]/0.015*0.75</f>
        <v>154611</v>
      </c>
    </row>
    <row r="37" spans="1:12" x14ac:dyDescent="0.2">
      <c r="A37">
        <f t="shared" si="0"/>
        <v>2053</v>
      </c>
      <c r="B37" s="2">
        <f>+B36*(1+Data!$C$14)</f>
        <v>0</v>
      </c>
      <c r="C37" s="2">
        <v>0</v>
      </c>
      <c r="D37" s="2">
        <v>0</v>
      </c>
      <c r="H37" s="2">
        <f t="shared" si="1"/>
        <v>228000</v>
      </c>
      <c r="J37" s="36">
        <v>2021</v>
      </c>
      <c r="K37" s="37">
        <v>3245.56</v>
      </c>
      <c r="L37" s="120">
        <f>+tablemax[[#This Row],[Plafond des PD]]/0.015</f>
        <v>216370.66666666666</v>
      </c>
    </row>
    <row r="38" spans="1:12" x14ac:dyDescent="0.2">
      <c r="A38">
        <f t="shared" si="0"/>
        <v>2054</v>
      </c>
      <c r="B38" s="2">
        <f>+B37*(1+Data!$C$14)</f>
        <v>0</v>
      </c>
      <c r="C38" s="2">
        <v>0</v>
      </c>
      <c r="D38" s="2">
        <v>0</v>
      </c>
      <c r="H38" s="2">
        <f t="shared" si="1"/>
        <v>228000</v>
      </c>
      <c r="J38" s="36">
        <v>2022</v>
      </c>
      <c r="K38" s="37">
        <v>3420</v>
      </c>
      <c r="L38" s="120">
        <f>+tablemax[[#This Row],[Plafond des PD]]/0.015</f>
        <v>228000</v>
      </c>
    </row>
    <row r="39" spans="1:12" x14ac:dyDescent="0.2">
      <c r="A39">
        <f t="shared" si="0"/>
        <v>2055</v>
      </c>
      <c r="B39" s="2">
        <f>+B38*(1+Data!$C$14)</f>
        <v>0</v>
      </c>
      <c r="C39" s="2">
        <v>0</v>
      </c>
      <c r="D39" s="2">
        <v>0</v>
      </c>
      <c r="G39" s="3"/>
      <c r="H39" s="2">
        <f t="shared" si="1"/>
        <v>228000</v>
      </c>
      <c r="J39" s="36">
        <v>2023</v>
      </c>
      <c r="K39" s="37">
        <v>3506.67</v>
      </c>
      <c r="L39" s="120">
        <f>+tablemax[[#This Row],[Plafond des PD]]/0.015</f>
        <v>233778</v>
      </c>
    </row>
    <row r="40" spans="1:12" x14ac:dyDescent="0.2">
      <c r="A40">
        <f t="shared" si="0"/>
        <v>2056</v>
      </c>
      <c r="B40" s="2">
        <f>+B39*(1+Data!$C$14)</f>
        <v>0</v>
      </c>
      <c r="C40" s="2">
        <v>0</v>
      </c>
      <c r="D40" s="2">
        <v>0</v>
      </c>
      <c r="H40" s="2">
        <f t="shared" si="1"/>
        <v>228000</v>
      </c>
    </row>
    <row r="41" spans="1:12" x14ac:dyDescent="0.2">
      <c r="A41">
        <f t="shared" si="0"/>
        <v>2057</v>
      </c>
      <c r="B41" s="2">
        <f>+B40*(1+Data!$C$14)</f>
        <v>0</v>
      </c>
      <c r="C41" s="2">
        <v>0</v>
      </c>
      <c r="D41" s="2">
        <v>0</v>
      </c>
      <c r="H41" s="2">
        <f t="shared" si="1"/>
        <v>228000</v>
      </c>
    </row>
    <row r="42" spans="1:12" x14ac:dyDescent="0.2">
      <c r="A42">
        <f t="shared" si="0"/>
        <v>2058</v>
      </c>
      <c r="B42" s="2">
        <f>+B41*(1+Data!$C$14)</f>
        <v>0</v>
      </c>
      <c r="C42" s="2">
        <v>0</v>
      </c>
      <c r="D42" s="2">
        <v>0</v>
      </c>
      <c r="H42" s="2">
        <f t="shared" si="1"/>
        <v>228000</v>
      </c>
    </row>
    <row r="43" spans="1:12" x14ac:dyDescent="0.2">
      <c r="A43">
        <f t="shared" si="0"/>
        <v>2059</v>
      </c>
      <c r="B43" s="2">
        <f>+B42*(1+Data!$C$14)</f>
        <v>0</v>
      </c>
      <c r="C43" s="2">
        <v>0</v>
      </c>
      <c r="D43" s="2">
        <v>0</v>
      </c>
      <c r="H43" s="2">
        <f t="shared" si="1"/>
        <v>228000</v>
      </c>
    </row>
    <row r="44" spans="1:12" x14ac:dyDescent="0.2">
      <c r="A44">
        <f t="shared" si="0"/>
        <v>2060</v>
      </c>
      <c r="B44" s="2">
        <f>+B43*(1+Data!$C$14)</f>
        <v>0</v>
      </c>
      <c r="C44" s="2">
        <v>0</v>
      </c>
      <c r="D44" s="2">
        <v>0</v>
      </c>
      <c r="H44" s="2">
        <f>+H43*(1+$H$2)</f>
        <v>228000</v>
      </c>
    </row>
    <row r="45" spans="1:12" x14ac:dyDescent="0.2">
      <c r="A45">
        <f t="shared" si="0"/>
        <v>2061</v>
      </c>
      <c r="B45" s="2">
        <f>+B44*(1+Data!$C$14)</f>
        <v>0</v>
      </c>
      <c r="C45" s="2">
        <v>0</v>
      </c>
      <c r="D45" s="2">
        <v>0</v>
      </c>
      <c r="H45" s="2">
        <f t="shared" si="1"/>
        <v>228000</v>
      </c>
    </row>
    <row r="46" spans="1:12" x14ac:dyDescent="0.2">
      <c r="A46">
        <f t="shared" si="0"/>
        <v>2062</v>
      </c>
      <c r="B46" s="2">
        <f>+B45*(1+Data!$C$14)</f>
        <v>0</v>
      </c>
      <c r="C46" s="2">
        <v>0</v>
      </c>
      <c r="D46" s="2">
        <v>0</v>
      </c>
      <c r="H46" s="2">
        <f t="shared" si="1"/>
        <v>228000</v>
      </c>
    </row>
    <row r="47" spans="1:12" x14ac:dyDescent="0.2">
      <c r="A47">
        <f t="shared" si="0"/>
        <v>2063</v>
      </c>
      <c r="B47" s="2">
        <f>+B46*(1+Data!$C$14)</f>
        <v>0</v>
      </c>
      <c r="C47" s="2">
        <v>0</v>
      </c>
      <c r="D47" s="2">
        <v>0</v>
      </c>
      <c r="H47" s="2">
        <f t="shared" si="1"/>
        <v>228000</v>
      </c>
    </row>
    <row r="48" spans="1:12" x14ac:dyDescent="0.2">
      <c r="A48">
        <f t="shared" si="0"/>
        <v>2064</v>
      </c>
      <c r="B48" s="2">
        <f>+B47*(1+Data!$C$14)</f>
        <v>0</v>
      </c>
      <c r="C48" s="2">
        <v>0</v>
      </c>
      <c r="D48" s="2">
        <v>0</v>
      </c>
      <c r="H48" s="2">
        <f t="shared" si="1"/>
        <v>228000</v>
      </c>
    </row>
    <row r="49" spans="1:8" x14ac:dyDescent="0.2">
      <c r="A49">
        <f t="shared" si="0"/>
        <v>2065</v>
      </c>
      <c r="B49" s="2">
        <f>+B48*(1+Data!$C$14)</f>
        <v>0</v>
      </c>
      <c r="C49" s="2">
        <v>0</v>
      </c>
      <c r="D49" s="2">
        <v>0</v>
      </c>
      <c r="H49" s="2">
        <f t="shared" si="1"/>
        <v>228000</v>
      </c>
    </row>
    <row r="50" spans="1:8" x14ac:dyDescent="0.2">
      <c r="A50">
        <f t="shared" si="0"/>
        <v>2066</v>
      </c>
      <c r="B50" s="2">
        <f>+B49*(1+Data!$C$14)</f>
        <v>0</v>
      </c>
      <c r="C50" s="2">
        <v>0</v>
      </c>
      <c r="D50" s="2">
        <v>0</v>
      </c>
      <c r="H50" s="2">
        <f t="shared" si="1"/>
        <v>228000</v>
      </c>
    </row>
    <row r="51" spans="1:8" x14ac:dyDescent="0.2">
      <c r="A51">
        <f t="shared" si="0"/>
        <v>2067</v>
      </c>
      <c r="B51" s="2">
        <f>+B50*(1+Data!$C$14)</f>
        <v>0</v>
      </c>
      <c r="C51" s="2">
        <v>0</v>
      </c>
      <c r="D51" s="2">
        <v>0</v>
      </c>
      <c r="H51" s="2">
        <f t="shared" si="1"/>
        <v>228000</v>
      </c>
    </row>
    <row r="52" spans="1:8" x14ac:dyDescent="0.2">
      <c r="A52">
        <f t="shared" si="0"/>
        <v>2068</v>
      </c>
      <c r="B52" s="2">
        <f>+B51*(1+Data!$C$14)</f>
        <v>0</v>
      </c>
      <c r="C52" s="2">
        <v>0</v>
      </c>
      <c r="D52" s="2">
        <v>0</v>
      </c>
      <c r="H52" s="2">
        <f t="shared" si="1"/>
        <v>228000</v>
      </c>
    </row>
    <row r="53" spans="1:8" x14ac:dyDescent="0.2">
      <c r="A53">
        <f t="shared" si="0"/>
        <v>2069</v>
      </c>
      <c r="B53" s="2">
        <f>+B52*(1+Data!$C$14)</f>
        <v>0</v>
      </c>
      <c r="C53" s="2">
        <v>0</v>
      </c>
      <c r="D53" s="2">
        <v>0</v>
      </c>
      <c r="H53" s="2">
        <f t="shared" si="1"/>
        <v>228000</v>
      </c>
    </row>
    <row r="54" spans="1:8" x14ac:dyDescent="0.2">
      <c r="A54">
        <f t="shared" si="0"/>
        <v>2070</v>
      </c>
      <c r="B54" s="2">
        <f>+B53*(1+Data!$C$14)</f>
        <v>0</v>
      </c>
      <c r="C54" s="2">
        <v>0</v>
      </c>
      <c r="D54" s="2">
        <v>0</v>
      </c>
      <c r="H54" s="2">
        <f t="shared" si="1"/>
        <v>228000</v>
      </c>
    </row>
    <row r="55" spans="1:8" x14ac:dyDescent="0.2">
      <c r="A55">
        <f t="shared" si="0"/>
        <v>2071</v>
      </c>
      <c r="B55" s="2">
        <f>+B54*(1+Data!$C$14)</f>
        <v>0</v>
      </c>
      <c r="C55" s="2">
        <v>0</v>
      </c>
      <c r="D55" s="2">
        <v>0</v>
      </c>
      <c r="H55" s="2">
        <f t="shared" si="1"/>
        <v>228000</v>
      </c>
    </row>
  </sheetData>
  <phoneticPr fontId="2" type="noConversion"/>
  <hyperlinks>
    <hyperlink ref="J3" r:id="rId1"/>
  </hyperlinks>
  <printOptions horizontalCentered="1"/>
  <pageMargins left="0.75" right="0.75" top="1" bottom="1" header="0.5" footer="0.5"/>
  <pageSetup orientation="portrait" r:id="rId2"/>
  <headerFooter alignWithMargins="0">
    <oddFooter>&amp;L&amp;D&amp;R&amp;Z&amp;F</oddFooter>
  </headerFooter>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Data</vt:lpstr>
      <vt:lpstr>Calculatrice</vt:lpstr>
      <vt:lpstr>Data!Print_Area</vt:lpstr>
    </vt:vector>
  </TitlesOfParts>
  <Company>Assomption Vie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nathalie.joseph</dc:creator>
  <cp:lastModifiedBy>Pierre-Luc Bouchard</cp:lastModifiedBy>
  <cp:lastPrinted>2019-03-05T14:07:19Z</cp:lastPrinted>
  <dcterms:created xsi:type="dcterms:W3CDTF">2009-04-08T12:38:10Z</dcterms:created>
  <dcterms:modified xsi:type="dcterms:W3CDTF">2023-09-12T16:25:54Z</dcterms:modified>
</cp:coreProperties>
</file>